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60" windowWidth="9570" windowHeight="8565" tabRatio="601" firstSheet="4" activeTab="7"/>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 r:id="rId20"/>
  </externalReferences>
  <definedNames>
    <definedName name="_xlnm.Print_Area" localSheetId="3">'Balance Sheet'!$A$1:$J$54</definedName>
    <definedName name="_xlnm.Print_Area" localSheetId="10">'Cash FlowCondensed(H)'!$A$1:$E$50</definedName>
    <definedName name="_xlnm.Print_Area" localSheetId="4">'Income Statement'!$A$1:$I$49</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<sst xmlns="http://schemas.openxmlformats.org/spreadsheetml/2006/main" count="1149" uniqueCount="641">
  <si>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</si>
  <si>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</si>
  <si>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</si>
  <si>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</si>
  <si>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</si>
  <si>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</si>
  <si>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</si>
  <si>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</si>
  <si>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</si>
  <si>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</si>
  <si>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</si>
  <si>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</si>
  <si>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</si>
  <si>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</si>
  <si>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</si>
  <si>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</si>
  <si>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</si>
  <si>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</si>
  <si>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</si>
  <si>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</si>
  <si>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</si>
  <si>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</si>
  <si>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</si>
  <si>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</si>
  <si>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</si>
  <si>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</si>
  <si>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</si>
  <si>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</si>
  <si>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</si>
  <si>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</si>
  <si>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</si>
  <si>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</si>
  <si>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</si>
  <si>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</si>
  <si>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</si>
  <si>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</si>
  <si>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</si>
  <si>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</si>
  <si>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</si>
  <si>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</si>
  <si>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</si>
  <si>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</si>
  <si>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</si>
  <si>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</si>
  <si>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</si>
  <si>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</si>
  <si>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</si>
  <si>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</si>
  <si>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</si>
  <si>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</si>
  <si>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</si>
  <si>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</si>
  <si>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</si>
  <si>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</si>
  <si>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</si>
  <si>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</si>
  <si>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</si>
  <si>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</si>
  <si>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</si>
  <si>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</si>
  <si>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</si>
  <si>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</si>
  <si>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</si>
  <si>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</si>
  <si>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</si>
  <si>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</si>
  <si>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</si>
  <si>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</si>
  <si>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</si>
  <si>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</si>
  <si>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</si>
  <si>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</si>
  <si>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</si>
  <si>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</si>
  <si>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</si>
  <si>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</si>
  <si>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</si>
  <si>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</si>
  <si>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</si>
  <si>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</si>
  <si>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</si>
  <si>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</si>
  <si>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</si>
  <si>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</si>
  <si>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</si>
  <si>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</si>
  <si>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</si>
  <si>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</si>
  <si>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</si>
  <si>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</si>
  <si>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</si>
  <si>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</si>
  <si>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</si>
  <si>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</si>
  <si>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</si>
  <si>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</si>
  <si>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</si>
  <si>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</si>
  <si>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</si>
  <si>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</si>
  <si>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</si>
  <si>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</si>
  <si>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</si>
  <si>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</si>
  <si>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</si>
  <si>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</si>
  <si>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</si>
  <si>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</si>
  <si>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</si>
  <si>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</si>
  <si>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</si>
  <si>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</si>
  <si>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</si>
  <si>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</si>
  <si>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</si>
  <si>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</si>
  <si>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</si>
  <si>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</si>
  <si>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</si>
  <si>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</si>
  <si>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</si>
  <si>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</si>
  <si>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</si>
  <si>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</si>
  <si>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</si>
  <si>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</si>
  <si>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</si>
  <si>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</si>
  <si>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</si>
  <si>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</si>
  <si>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</si>
  <si>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</si>
  <si>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</si>
  <si>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</si>
  <si>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</si>
  <si>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</si>
  <si>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</si>
  <si>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</si>
  <si>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</si>
  <si>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</si>
  <si>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</si>
  <si>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</si>
  <si>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</si>
  <si>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</si>
  <si>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</si>
  <si>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</si>
  <si>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</si>
  <si>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</si>
  <si>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</si>
  <si>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</si>
  <si>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</si>
  <si>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</si>
  <si>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</si>
  <si>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</si>
  <si>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</si>
  <si>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</si>
  <si>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</si>
  <si>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</si>
  <si>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</si>
  <si>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</si>
  <si>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</si>
  <si>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</si>
  <si>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</si>
  <si>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</si>
  <si>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</si>
  <si>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</si>
  <si>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</si>
  <si>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</si>
  <si>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</si>
  <si>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</si>
  <si>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</si>
  <si>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</si>
  <si>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</si>
  <si>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</si>
  <si>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</si>
  <si>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</si>
  <si>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</si>
  <si>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</si>
  <si>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</si>
  <si>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</si>
  <si>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</si>
  <si>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</si>
  <si>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</si>
  <si>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</si>
  <si>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</si>
  <si>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</si>
  <si>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</si>
  <si>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</si>
  <si>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</si>
  <si>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</si>
  <si>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</si>
  <si>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</si>
  <si>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</si>
  <si>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</si>
  <si>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</si>
  <si>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</si>
  <si>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</si>
  <si>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</si>
  <si>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</si>
  <si>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</si>
  <si>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</si>
  <si>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</si>
  <si>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</si>
  <si>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</si>
  <si>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</si>
  <si>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</si>
  <si>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</si>
  <si>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</si>
  <si>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</si>
  <si>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</si>
  <si>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</si>
  <si>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</si>
  <si>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</si>
  <si>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</si>
  <si>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</si>
  <si>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</si>
  <si>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</si>
  <si>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</si>
  <si>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</si>
  <si>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</si>
  <si>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</si>
  <si>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</si>
  <si>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</si>
  <si>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</si>
  <si>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</si>
  <si>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</si>
  <si>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</si>
  <si>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</si>
  <si>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</si>
  <si>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</si>
  <si>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</si>
  <si>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</si>
  <si>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</si>
  <si>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</si>
  <si>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</si>
  <si>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</si>
  <si>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</si>
  <si>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</si>
  <si>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</si>
  <si>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</si>
  <si>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</si>
  <si>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</si>
  <si>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</si>
  <si>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</si>
  <si>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</si>
  <si>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</si>
  <si>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</si>
  <si>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</si>
  <si>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</si>
  <si>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</si>
  <si>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</si>
  <si>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</si>
  <si>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</si>
  <si>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</si>
  <si>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</si>
  <si>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</si>
  <si>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</si>
  <si>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</si>
  <si>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</si>
  <si>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</si>
  <si>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</si>
  <si>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</si>
  <si>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</si>
  <si>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</si>
  <si>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</si>
  <si>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</si>
  <si>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</si>
  <si>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</si>
  <si>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</si>
  <si>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</si>
  <si>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</si>
  <si>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</si>
  <si>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</si>
  <si>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</si>
  <si>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</si>
  <si>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</si>
  <si>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</si>
  <si>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</si>
  <si>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</si>
  <si>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</si>
  <si>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</si>
  <si>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</si>
  <si>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</si>
  <si>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</si>
  <si>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</si>
  <si>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</si>
  <si>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</si>
  <si>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</si>
  <si>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</si>
  <si>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</si>
  <si>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</si>
  <si>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</si>
  <si>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</si>
  <si>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</si>
  <si>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</si>
  <si>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</si>
  <si>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</si>
  <si>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</si>
  <si>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</si>
  <si>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</si>
  <si>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</si>
  <si>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</si>
  <si>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</si>
  <si>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</si>
  <si>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</si>
  <si>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</si>
  <si>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</si>
  <si>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</si>
  <si>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</si>
  <si>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</si>
  <si>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</si>
  <si>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</si>
  <si>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</si>
  <si>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</si>
  <si>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</si>
  <si>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</si>
  <si>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</si>
  <si>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</si>
  <si>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</si>
  <si>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</si>
  <si>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</si>
  <si>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</si>
  <si>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</si>
  <si>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</si>
  <si>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</si>
  <si>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</si>
  <si>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</si>
  <si>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</si>
  <si>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</si>
  <si>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</si>
  <si>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</si>
  <si>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</si>
  <si>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</si>
  <si>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</si>
  <si>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</si>
  <si>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</si>
  <si>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</si>
  <si>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</si>
  <si>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</si>
  <si>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</si>
  <si>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</si>
  <si>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</si>
  <si>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</si>
  <si>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</si>
  <si>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</si>
  <si>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</si>
  <si>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</si>
  <si>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</si>
  <si>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</si>
  <si>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</si>
  <si>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</si>
  <si>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</si>
  <si>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</si>
  <si>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</si>
  <si>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</si>
  <si>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</si>
  <si>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</si>
  <si>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</si>
  <si>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</si>
  <si>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</si>
  <si>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</si>
  <si>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</si>
  <si>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</si>
  <si>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</si>
  <si>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</si>
  <si>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</si>
  <si>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</si>
  <si>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</si>
  <si>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</si>
  <si>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</si>
  <si>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</si>
  <si>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</si>
  <si>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</si>
  <si>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</si>
  <si>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</si>
  <si>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</si>
  <si>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</si>
  <si>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</si>
  <si>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</si>
  <si>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</si>
  <si>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</si>
  <si>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</si>
  <si>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</si>
  <si>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</si>
  <si>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</si>
  <si>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</si>
  <si>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</si>
  <si>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</si>
  <si>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</si>
  <si>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</si>
  <si>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</si>
  <si>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</si>
  <si>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</si>
  <si>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</si>
  <si>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</si>
  <si>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</si>
  <si>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</si>
  <si>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</si>
  <si>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</si>
  <si>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</si>
  <si>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</si>
  <si>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</si>
  <si>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</si>
  <si>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</si>
  <si>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</si>
  <si>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</si>
  <si>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</si>
  <si>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</si>
  <si>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</si>
  <si>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</si>
  <si>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</si>
  <si>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</si>
  <si>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</si>
  <si>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</si>
  <si>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</si>
  <si>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</si>
  <si>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</si>
  <si>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</si>
  <si>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</si>
  <si>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</si>
  <si>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</si>
  <si>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</si>
  <si>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</si>
  <si>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</si>
  <si>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</si>
  <si>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</si>
  <si>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</si>
  <si>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</si>
  <si>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</si>
  <si>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</si>
  <si>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</si>
  <si>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</si>
  <si>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</si>
  <si>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</si>
  <si>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</si>
  <si>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</si>
  <si>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</si>
  <si>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</si>
  <si>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</si>
  <si>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</si>
  <si>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</si>
  <si>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</si>
  <si>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</si>
  <si>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</si>
  <si>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</si>
  <si>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</si>
  <si>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</si>
  <si>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</si>
  <si>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</si>
  <si>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</si>
  <si>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</si>
  <si>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</si>
  <si>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</si>
  <si>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</si>
  <si>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</si>
  <si>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</si>
  <si>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</si>
  <si>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</si>
  <si>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</si>
  <si>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</si>
  <si>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</si>
  <si>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</si>
  <si>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</si>
  <si>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</si>
  <si>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</si>
  <si>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</si>
  <si>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</si>
  <si>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</si>
  <si>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</si>
  <si>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</si>
  <si>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</si>
  <si>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</si>
  <si>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</si>
  <si>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</si>
  <si>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</si>
  <si>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</si>
  <si>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</si>
  <si>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</si>
  <si>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</si>
  <si>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</si>
  <si>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</si>
  <si>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</si>
  <si>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</si>
  <si>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</si>
  <si>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</si>
  <si>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</si>
  <si>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</si>
  <si>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</si>
  <si>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</si>
  <si>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</si>
  <si>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</si>
  <si>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</si>
  <si>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</si>
  <si>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</si>
  <si>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</si>
  <si>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</si>
  <si>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</si>
  <si>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</si>
  <si>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</si>
  <si>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</si>
  <si>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</si>
  <si>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</si>
  <si>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Net profit for the period</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</si>
  <si>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</si>
  <si>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</si>
  <si>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</si>
  <si>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</si>
  <si>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</si>
  <si>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</si>
  <si>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</si>
  <si>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</si>
  <si>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</si>
  <si>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</si>
  <si>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</si>
  <si>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</si>
  <si>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</si>
  <si>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</si>
  <si>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Profit from operations</t>
  </si>
  <si>
    <t>Finance costs</t>
  </si>
  <si>
    <t>- Basic</t>
  </si>
  <si>
    <t>- Diluted</t>
  </si>
  <si>
    <t>amortisation</t>
  </si>
  <si>
    <t xml:space="preserve">Depreciation and </t>
  </si>
  <si>
    <t>(AUDITED)</t>
  </si>
  <si>
    <t>Distributable</t>
  </si>
  <si>
    <t>QUARTER ENDED</t>
  </si>
  <si>
    <t>Inventories</t>
  </si>
  <si>
    <t>Deferred Taxation</t>
  </si>
  <si>
    <t>Non -</t>
  </si>
  <si>
    <t>Share Premium</t>
  </si>
  <si>
    <t>Property, Plant and Equipment</t>
  </si>
  <si>
    <t>Current Liabilities</t>
  </si>
  <si>
    <t>Hire Purchase Payables</t>
  </si>
  <si>
    <t>Bank Borrowings</t>
  </si>
  <si>
    <t>Retained Profit</t>
  </si>
  <si>
    <t>Shareholders' Funds</t>
  </si>
  <si>
    <t>Non-Current Liabilities</t>
  </si>
  <si>
    <t>Term Loan</t>
  </si>
  <si>
    <t>YEAR TO DATE</t>
  </si>
  <si>
    <t>ENDED</t>
  </si>
  <si>
    <t>AS AT CURRENT</t>
  </si>
  <si>
    <t>Capital Reserve</t>
  </si>
  <si>
    <t>Minority interest</t>
  </si>
  <si>
    <t>Forex Reserve</t>
  </si>
  <si>
    <t>Minority Interest</t>
  </si>
  <si>
    <t>Exchange fluctuation reserve</t>
  </si>
  <si>
    <t>Attributable to :</t>
  </si>
  <si>
    <t>Equity holders of the parent</t>
  </si>
  <si>
    <t>Minority</t>
  </si>
  <si>
    <t>Interest</t>
  </si>
  <si>
    <t>Minority Interest share of</t>
  </si>
  <si>
    <t xml:space="preserve">   ordinary shares</t>
  </si>
  <si>
    <t>Net assets per share attributable to ordinary equity</t>
  </si>
  <si>
    <t xml:space="preserve">  holders of the parent (sen)</t>
  </si>
  <si>
    <t>ES CERAMICS TECHNOLOGY BHD</t>
  </si>
  <si>
    <t>Company No. 627117-P</t>
  </si>
  <si>
    <t xml:space="preserve">Exchange differences on </t>
  </si>
  <si>
    <t xml:space="preserve">  translation of the financial</t>
  </si>
  <si>
    <t xml:space="preserve">  statements of foreign entities</t>
  </si>
  <si>
    <t xml:space="preserve">                                                                                                                                                                                                              </t>
  </si>
  <si>
    <t xml:space="preserve">CURRENT </t>
  </si>
  <si>
    <t>PRECEDING YEAR</t>
  </si>
  <si>
    <t>Adjustments for :-</t>
  </si>
  <si>
    <t>Depreciation of property, plant and equipment</t>
  </si>
  <si>
    <t>(Profit) / Loss on disposal of property, plant &amp; equipment</t>
  </si>
  <si>
    <t>Changes in working capital:</t>
  </si>
  <si>
    <t>(Increase) / Decrease in inventories</t>
  </si>
  <si>
    <t>(Increase) / Decrease in receivables</t>
  </si>
  <si>
    <t>Increase / (Decrease) in payables</t>
  </si>
  <si>
    <t>Income tax paid</t>
  </si>
  <si>
    <t>Net cash generated by operating activities</t>
  </si>
  <si>
    <t>Cash flows from investing activities</t>
  </si>
  <si>
    <t>Purchase of property, plant and equipment</t>
  </si>
  <si>
    <t>Development costs incurred</t>
  </si>
  <si>
    <t>Proceeds from disposal of property, plant and equipment</t>
  </si>
  <si>
    <t>Investment in subsidiary companies</t>
  </si>
  <si>
    <t>Listing expenses</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</si>
  <si>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</si>
  <si>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</si>
  <si>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</si>
  <si>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</si>
  <si>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</si>
  <si>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</si>
  <si>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Effect of exchange rate changes</t>
  </si>
  <si>
    <t>Cash and cash equivalents at beginning of period</t>
  </si>
  <si>
    <t>Cash and cash equivalents at end of period</t>
  </si>
  <si>
    <t>CONDENSED CONSOLIDATED CASH FLOW STATEMENTS</t>
  </si>
  <si>
    <t xml:space="preserve">CONDENSED CONSOLIDATED STATEMENTS OF CHANGES IN EQUITY </t>
  </si>
  <si>
    <t xml:space="preserve">CONDENSED CONSOLIDATED INCOME STATEMENTS (UNAUDITED) </t>
  </si>
  <si>
    <t>Drawdown / (Repayment) of hire purchase</t>
  </si>
  <si>
    <t>Advance from director</t>
  </si>
  <si>
    <t>Goodwill written off</t>
  </si>
  <si>
    <t>Share options granted under ESOS</t>
  </si>
  <si>
    <t>Cash and cash equivalent comprises of:</t>
  </si>
  <si>
    <t xml:space="preserve"> - Cash and bank balances</t>
  </si>
  <si>
    <t>Quarter Ended 31 May 2008</t>
  </si>
  <si>
    <t>Dividends Paid</t>
  </si>
  <si>
    <t>Loan administration fee</t>
  </si>
  <si>
    <t>(UNAUDITED)</t>
  </si>
  <si>
    <t xml:space="preserve">CONDENSED CONSOLIDATED BALANCE SHEETS </t>
  </si>
  <si>
    <t xml:space="preserve">AS AT FINANCIAL </t>
  </si>
  <si>
    <t>YEAR ENDED</t>
  </si>
  <si>
    <t>Trade &amp; Other Receivables</t>
  </si>
  <si>
    <t>TOTAL ASSETS</t>
  </si>
  <si>
    <t>ASSETS</t>
  </si>
  <si>
    <t xml:space="preserve">EQUITY AND LIABILITIES </t>
  </si>
  <si>
    <t>Non-Current Assets</t>
  </si>
  <si>
    <t>Intangible Assets</t>
  </si>
  <si>
    <t>Securities Held-to-Maturity</t>
  </si>
  <si>
    <t>Prepaid Lease Payments For Land</t>
  </si>
  <si>
    <t>TOTAL EQUITY</t>
  </si>
  <si>
    <t>LIABILITIES</t>
  </si>
  <si>
    <t>TOTAL LIABILITIES</t>
  </si>
  <si>
    <t xml:space="preserve">TOTAL EQUITY AND LIABILITIES </t>
  </si>
  <si>
    <t>Current Tax Asset</t>
  </si>
  <si>
    <t>Cash and Cash Equivalents</t>
  </si>
  <si>
    <t>Current Tax Payable</t>
  </si>
  <si>
    <t>Trade and Other Payables</t>
  </si>
  <si>
    <t>(The condensed consolidated Income Statement should be read in conjunction with the Annual Financial Report for the financial year ended 31 May 2009)</t>
  </si>
  <si>
    <t>(The condensed consolidated Balance Sheet should be read in conjunction with the Annual Financial Report for the financial year ended 31 May 2009)</t>
  </si>
  <si>
    <t>(The condensed consolidated Statement of changes in Equity should be read in conjunction with the Annual Financial Report for the financial year ended 31 May 2008)</t>
  </si>
  <si>
    <t>(The condensed consolidated Cash Flow Statement should be read in conjunction with the Annual Financial Report for the financial year ended 31 May 2009)</t>
  </si>
  <si>
    <t>Net profit/(loss) for the period</t>
  </si>
  <si>
    <t>YE 31 MAY 09</t>
  </si>
  <si>
    <t>Allowance for doubtful debts no longer required</t>
  </si>
  <si>
    <t>Equity Attributable to Equity Holders of the Company</t>
  </si>
  <si>
    <t>As at 31 May 2008</t>
  </si>
  <si>
    <t>As at 31 May 2009</t>
  </si>
  <si>
    <t xml:space="preserve"> - Fixed Deposits</t>
  </si>
  <si>
    <t>As reported in the balance sheets</t>
  </si>
  <si>
    <t>As reported in cash flow statements</t>
  </si>
  <si>
    <r>
      <t>Less</t>
    </r>
    <r>
      <rPr>
        <sz val="10"/>
        <rFont val="Arial"/>
        <family val="2"/>
      </rPr>
      <t xml:space="preserve"> : Fixed deposits pledged as security</t>
    </r>
  </si>
  <si>
    <t xml:space="preserve">          Bank overdrafts </t>
  </si>
  <si>
    <t>under ESOS</t>
  </si>
  <si>
    <t xml:space="preserve">Share options granted /lapsed </t>
  </si>
  <si>
    <t>ENDED 30 NOVEMBER 2009</t>
  </si>
  <si>
    <t>INTERIM FINANCIAL REPORT FOR THE SECOND QUARTER</t>
  </si>
  <si>
    <t>As at 30 Nov 2008</t>
  </si>
  <si>
    <t>Quarter Ended 30 Nov 2009</t>
  </si>
  <si>
    <t>As at 30 Nov 2009</t>
  </si>
  <si>
    <t>-</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</si>
</sst>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t&quot;$&quot;#,##0_);\(\t&quot;$&quot;#,##0\)"/>
    <numFmt numFmtId="179" formatCode="\t&quot;$&quot;#,##0_);[Red]\(\t&quot;$&quot;#,##0\)"/>
    <numFmt numFmtId="180" formatCode="\t&quot;$&quot;#,##0.00_);\(\t&quot;$&quot;#,##0.00\)"/>
    <numFmt numFmtId="181" formatCode="\t&quot;$&quot;#,##0.00_);[Red]\(\t&quot;$&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_(* \(#,##0.0\);_(* &quot;-&quot;??_);_(@_)"/>
    <numFmt numFmtId="189" formatCode="_(* #,##0_);_(* \(#,##0\);_(* &quot;-&quot;??_);_(@_)"/>
    <numFmt numFmtId="190" formatCode="_(* #,##0.0_);_(* \(#,##0.0\);_(* &quot;-&quot;?_);_(@_)"/>
    <numFmt numFmtId="191" formatCode="[$-409]dddd\,\ dd\ mmmm\,\ yyyy"/>
    <numFmt numFmtId="192" formatCode="[$-409]d\-mmm\-yy;@"/>
    <numFmt numFmtId="193" formatCode="0.0%"/>
    <numFmt numFmtId="194" formatCode="_(* #,##0.000_);_(* \(#,##0.000\);_(* &quot;-&quot;??_);_(@_)"/>
    <numFmt numFmtId="195" formatCode="_(* #,##0.0000_);_(* \(#,##0.0000\);_(* &quot;-&quot;??_);_(@_)"/>
    <numFmt numFmtId="196" formatCode="_(* #,##0.00000_);_(* \(#,##0.00000\);_(* &quot;-&quot;??_);_(@_)"/>
    <numFmt numFmtId="197" formatCode="#,##0.00;\&lt;#,##0.00\&gt;"/>
    <numFmt numFmtId="198" formatCode="0.0000"/>
    <numFmt numFmtId="199" formatCode="0.000"/>
    <numFmt numFmtId="200" formatCode="#,##0.0_);[Red]\(#,##0.0\)"/>
    <numFmt numFmtId="201" formatCode="0.0"/>
    <numFmt numFmtId="202" formatCode="_(* #,##0.000000_);_(* \(#,##0.000000\);_(* &quot;-&quot;??_);_(@_)"/>
    <numFmt numFmtId="203" formatCode="_(* #,##0.0000000_);_(* \(#,##0.0000000\);_(* &quot;-&quot;??_);_(@_)"/>
    <numFmt numFmtId="204" formatCode="0.00000"/>
    <numFmt numFmtId="205" formatCode="0.000000"/>
    <numFmt numFmtId="206" formatCode="0.0000000"/>
    <numFmt numFmtId="207" formatCode="#,##0.000_);\(#,##0.000\)"/>
    <numFmt numFmtId="208" formatCode="#,##0.0_);\(#,##0.0\)"/>
    <numFmt numFmtId="209" formatCode="0.00000000"/>
    <numFmt numFmtId="210" formatCode="0.0000000000"/>
    <numFmt numFmtId="211" formatCode="0.00000000000"/>
    <numFmt numFmtId="212" formatCode="0.000000000"/>
    <numFmt numFmtId="213" formatCode="0.00_);\(0.00\)"/>
    <numFmt numFmtId="214" formatCode="[$-409]dddd\,\ mmmm\ dd\,\ yyyy"/>
    <numFmt numFmtId="215" formatCode="&quot;Yes&quot;;&quot;Yes&quot;;&quot;No&quot;"/>
    <numFmt numFmtId="216" formatCode="&quot;True&quot;;&quot;True&quot;;&quot;False&quot;"/>
    <numFmt numFmtId="217" formatCode="&quot;On&quot;;&quot;On&quot;;&quot;Off&quot;"/>
    <numFmt numFmtId="218" formatCode="[$€-2]\ #,##0.00_);[Red]\([$€-2]\ #,##0.00\)"/>
    <numFmt numFmtId="219" formatCode="#,##0.00000"/>
    <numFmt numFmtId="220" formatCode="mmm\-yyyy"/>
    <numFmt numFmtId="221" formatCode="_(* #,##0_);_(* \(#,##0\);_(* \-_);_(@_)"/>
    <numFmt numFmtId="222" formatCode="&quot;ใช่&quot;;&quot;ใช่&quot;;&quot;ไม่ใช่&quot;"/>
    <numFmt numFmtId="223" formatCode="&quot;จริง&quot;;&quot;จริง&quot;;&quot;เท็จ&quot;"/>
    <numFmt numFmtId="224" formatCode="&quot;เปิด&quot;;&quot;เปิด&quot;;&quot;ปิด&quot;"/>
  </numFmts>
  <fonts count="54">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2"/>
    </font>
    <font>
      <u val="single"/>
      <sz val="10"/>
      <color indexed="12"/>
      <name val="Arial"/>
      <family val="2"/>
    </font>
    <font>
      <u val="single"/>
      <sz val="10"/>
      <color indexed="36"/>
      <name val="Arial"/>
      <family val="2"/>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u val="single"/>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0" borderId="0">
      <alignment/>
      <protection/>
    </xf>
    <xf numFmtId="0" fontId="18" fillId="0" borderId="0">
      <alignment/>
      <protection/>
    </xf>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55">
    <xf numFmtId="0" fontId="0" fillId="0" borderId="0" xfId="0" applyAlignment="1">
      <alignment/>
    </xf>
    <xf numFmtId="43" fontId="0" fillId="0" borderId="0" xfId="42" applyFont="1" applyAlignment="1">
      <alignment/>
    </xf>
    <xf numFmtId="43" fontId="3" fillId="0" borderId="0" xfId="42" applyFont="1" applyAlignment="1">
      <alignment horizontal="center"/>
    </xf>
    <xf numFmtId="0" fontId="1" fillId="0" borderId="0" xfId="0" applyFont="1" applyAlignment="1">
      <alignment/>
    </xf>
    <xf numFmtId="43" fontId="1" fillId="0" borderId="0" xfId="42" applyFont="1" applyAlignment="1">
      <alignment/>
    </xf>
    <xf numFmtId="43" fontId="1" fillId="0" borderId="10" xfId="42" applyFont="1" applyBorder="1" applyAlignment="1">
      <alignment/>
    </xf>
    <xf numFmtId="43" fontId="1" fillId="0" borderId="11" xfId="42" applyFont="1" applyBorder="1" applyAlignment="1">
      <alignment/>
    </xf>
    <xf numFmtId="43" fontId="1" fillId="0" borderId="12" xfId="42" applyFont="1" applyBorder="1" applyAlignment="1">
      <alignment/>
    </xf>
    <xf numFmtId="43" fontId="1" fillId="0" borderId="13" xfId="42" applyFont="1" applyBorder="1" applyAlignment="1">
      <alignment/>
    </xf>
    <xf numFmtId="0" fontId="2" fillId="0" borderId="0" xfId="0" applyFont="1" applyAlignment="1">
      <alignment/>
    </xf>
    <xf numFmtId="189" fontId="0" fillId="0" borderId="0" xfId="42" applyNumberFormat="1" applyFont="1" applyAlignment="1">
      <alignment/>
    </xf>
    <xf numFmtId="189" fontId="3" fillId="0" borderId="0" xfId="42" applyNumberFormat="1" applyFont="1" applyAlignment="1">
      <alignment horizontal="center"/>
    </xf>
    <xf numFmtId="189" fontId="0" fillId="0" borderId="10" xfId="42" applyNumberFormat="1" applyFont="1" applyBorder="1" applyAlignment="1">
      <alignment/>
    </xf>
    <xf numFmtId="189" fontId="0" fillId="0" borderId="11" xfId="42" applyNumberFormat="1" applyFont="1" applyBorder="1" applyAlignment="1">
      <alignment/>
    </xf>
    <xf numFmtId="189" fontId="0" fillId="0" borderId="12" xfId="42" applyNumberFormat="1" applyFont="1" applyBorder="1" applyAlignment="1">
      <alignment/>
    </xf>
    <xf numFmtId="189" fontId="0" fillId="0" borderId="13" xfId="42" applyNumberFormat="1" applyFont="1" applyBorder="1" applyAlignment="1">
      <alignment/>
    </xf>
    <xf numFmtId="0" fontId="0" fillId="0" borderId="0" xfId="0" applyFont="1" applyAlignment="1">
      <alignment/>
    </xf>
    <xf numFmtId="189" fontId="0" fillId="0" borderId="14" xfId="42" applyNumberFormat="1" applyFont="1" applyBorder="1" applyAlignment="1">
      <alignment/>
    </xf>
    <xf numFmtId="189" fontId="0" fillId="0" borderId="14" xfId="42" applyNumberFormat="1" applyFont="1" applyBorder="1" applyAlignment="1">
      <alignment/>
    </xf>
    <xf numFmtId="189" fontId="0" fillId="0" borderId="0" xfId="42" applyNumberFormat="1" applyFont="1" applyAlignment="1">
      <alignment/>
    </xf>
    <xf numFmtId="43" fontId="0" fillId="0" borderId="0" xfId="0" applyNumberFormat="1" applyAlignment="1">
      <alignment/>
    </xf>
    <xf numFmtId="189" fontId="0" fillId="0" borderId="0" xfId="0" applyNumberFormat="1" applyAlignment="1">
      <alignment/>
    </xf>
    <xf numFmtId="189" fontId="0" fillId="0" borderId="0" xfId="42" applyNumberFormat="1" applyFont="1" applyBorder="1" applyAlignment="1">
      <alignment/>
    </xf>
    <xf numFmtId="189"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89"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9"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9" fontId="0" fillId="0" borderId="0" xfId="42" applyNumberFormat="1" applyFont="1" applyBorder="1" applyAlignment="1">
      <alignment/>
    </xf>
    <xf numFmtId="189"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89" fontId="2" fillId="0" borderId="0" xfId="42" applyNumberFormat="1" applyFont="1" applyAlignment="1">
      <alignment horizontal="center"/>
    </xf>
    <xf numFmtId="0" fontId="2" fillId="0" borderId="0" xfId="0" applyFont="1" applyAlignment="1" quotePrefix="1">
      <alignment horizontal="left"/>
    </xf>
    <xf numFmtId="189"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9" fontId="0" fillId="0" borderId="13" xfId="42" applyNumberFormat="1" applyFont="1" applyBorder="1" applyAlignment="1">
      <alignment horizontal="justify"/>
    </xf>
    <xf numFmtId="189"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89" fontId="6" fillId="0" borderId="0" xfId="42" applyNumberFormat="1" applyFont="1" applyAlignment="1">
      <alignment/>
    </xf>
    <xf numFmtId="0" fontId="6" fillId="0" borderId="0" xfId="0" applyFont="1" applyAlignment="1">
      <alignment horizontal="left"/>
    </xf>
    <xf numFmtId="189" fontId="14" fillId="0" borderId="0" xfId="42" applyNumberFormat="1" applyFont="1" applyAlignment="1">
      <alignment/>
    </xf>
    <xf numFmtId="189"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9"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89" fontId="0" fillId="0" borderId="0" xfId="0" applyNumberFormat="1" applyFont="1" applyAlignment="1">
      <alignment/>
    </xf>
    <xf numFmtId="189" fontId="0" fillId="0" borderId="14" xfId="0" applyNumberFormat="1" applyFont="1" applyBorder="1" applyAlignment="1">
      <alignment/>
    </xf>
    <xf numFmtId="43"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9" fontId="17" fillId="0" borderId="0" xfId="42" applyNumberFormat="1" applyFont="1" applyAlignment="1">
      <alignment/>
    </xf>
    <xf numFmtId="189" fontId="7" fillId="0" borderId="0" xfId="42" applyNumberFormat="1" applyFont="1" applyFill="1" applyAlignment="1" quotePrefix="1">
      <alignment/>
    </xf>
    <xf numFmtId="43" fontId="10" fillId="0" borderId="11" xfId="42" applyFont="1" applyBorder="1" applyAlignment="1">
      <alignment/>
    </xf>
    <xf numFmtId="43" fontId="10" fillId="0" borderId="11" xfId="42" applyFont="1" applyBorder="1" applyAlignment="1">
      <alignment horizontal="center"/>
    </xf>
    <xf numFmtId="189" fontId="10" fillId="0" borderId="12" xfId="0" applyNumberFormat="1" applyFont="1" applyBorder="1" applyAlignment="1">
      <alignment horizontal="center"/>
    </xf>
    <xf numFmtId="43" fontId="10" fillId="0" borderId="10" xfId="0" applyNumberFormat="1" applyFont="1" applyBorder="1" applyAlignment="1">
      <alignment/>
    </xf>
    <xf numFmtId="43" fontId="10" fillId="0" borderId="12" xfId="42" applyFont="1" applyBorder="1" applyAlignment="1">
      <alignment/>
    </xf>
    <xf numFmtId="43" fontId="10" fillId="0" borderId="17" xfId="0" applyNumberFormat="1" applyFont="1" applyBorder="1" applyAlignment="1">
      <alignment/>
    </xf>
    <xf numFmtId="43" fontId="0" fillId="0" borderId="0" xfId="42" applyNumberFormat="1" applyFont="1" applyAlignment="1">
      <alignment/>
    </xf>
    <xf numFmtId="189" fontId="2" fillId="0" borderId="0" xfId="42" applyNumberFormat="1" applyFont="1" applyAlignment="1" quotePrefix="1">
      <alignment horizontal="center"/>
    </xf>
    <xf numFmtId="189" fontId="0" fillId="0" borderId="0" xfId="42" applyNumberFormat="1" applyFont="1" applyAlignment="1">
      <alignment horizontal="right"/>
    </xf>
    <xf numFmtId="189" fontId="2" fillId="0" borderId="0" xfId="42" applyNumberFormat="1" applyFont="1" applyAlignment="1">
      <alignment/>
    </xf>
    <xf numFmtId="189"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9" fontId="0" fillId="0" borderId="0" xfId="42" applyNumberFormat="1" applyFont="1" applyFill="1" applyAlignment="1">
      <alignment/>
    </xf>
    <xf numFmtId="189" fontId="0" fillId="0" borderId="14" xfId="42" applyNumberFormat="1" applyFont="1" applyFill="1" applyBorder="1" applyAlignment="1">
      <alignment/>
    </xf>
    <xf numFmtId="0" fontId="0" fillId="0" borderId="0" xfId="57" applyFont="1" applyFill="1" applyAlignment="1">
      <alignment horizontal="left" vertical="center"/>
      <protection/>
    </xf>
    <xf numFmtId="189" fontId="0" fillId="0" borderId="0" xfId="42" applyNumberFormat="1" applyFont="1" applyFill="1" applyBorder="1" applyAlignment="1">
      <alignment/>
    </xf>
    <xf numFmtId="189" fontId="0" fillId="0" borderId="13" xfId="0" applyNumberFormat="1" applyFont="1" applyBorder="1" applyAlignment="1">
      <alignment/>
    </xf>
    <xf numFmtId="0" fontId="10" fillId="0" borderId="0" xfId="0" applyFont="1" applyAlignment="1">
      <alignment/>
    </xf>
    <xf numFmtId="189" fontId="0" fillId="0" borderId="0" xfId="42" applyNumberFormat="1" applyFont="1" applyFill="1" applyAlignment="1">
      <alignment/>
    </xf>
    <xf numFmtId="189" fontId="3" fillId="0" borderId="0" xfId="42" applyNumberFormat="1" applyFont="1" applyFill="1" applyAlignment="1">
      <alignment horizontal="center"/>
    </xf>
    <xf numFmtId="43" fontId="0" fillId="0" borderId="14" xfId="42" applyFont="1" applyBorder="1" applyAlignment="1">
      <alignment/>
    </xf>
    <xf numFmtId="189" fontId="6" fillId="0" borderId="0" xfId="42" applyNumberFormat="1" applyFont="1" applyFill="1" applyAlignment="1">
      <alignment/>
    </xf>
    <xf numFmtId="189" fontId="0" fillId="0" borderId="0" xfId="42" applyNumberFormat="1" applyFont="1" applyFill="1" applyBorder="1" applyAlignment="1">
      <alignment/>
    </xf>
    <xf numFmtId="189" fontId="0" fillId="0" borderId="14" xfId="42" applyNumberFormat="1" applyFont="1" applyFill="1" applyBorder="1" applyAlignment="1">
      <alignment/>
    </xf>
    <xf numFmtId="189" fontId="0" fillId="0" borderId="0" xfId="42" applyNumberFormat="1" applyFont="1" applyFill="1" applyAlignment="1">
      <alignment/>
    </xf>
    <xf numFmtId="189" fontId="6" fillId="0" borderId="0" xfId="42" applyNumberFormat="1" applyFont="1" applyFill="1" applyAlignment="1">
      <alignment/>
    </xf>
    <xf numFmtId="189" fontId="6" fillId="0" borderId="16" xfId="42" applyNumberFormat="1" applyFont="1" applyFill="1" applyBorder="1" applyAlignment="1">
      <alignment/>
    </xf>
    <xf numFmtId="189" fontId="17" fillId="0" borderId="0" xfId="42" applyNumberFormat="1" applyFont="1" applyFill="1" applyAlignment="1">
      <alignment/>
    </xf>
    <xf numFmtId="189" fontId="0" fillId="0" borderId="14" xfId="42" applyNumberFormat="1" applyFont="1" applyBorder="1" applyAlignment="1">
      <alignment/>
    </xf>
    <xf numFmtId="43" fontId="6" fillId="0" borderId="0" xfId="0" applyNumberFormat="1" applyFont="1" applyAlignment="1">
      <alignment/>
    </xf>
    <xf numFmtId="189" fontId="0" fillId="24" borderId="14" xfId="42" applyNumberFormat="1" applyFont="1" applyFill="1" applyBorder="1" applyAlignment="1">
      <alignment/>
    </xf>
    <xf numFmtId="189" fontId="0" fillId="24" borderId="14" xfId="42" applyNumberFormat="1" applyFont="1" applyFill="1" applyBorder="1" applyAlignment="1">
      <alignment/>
    </xf>
    <xf numFmtId="9" fontId="0" fillId="0" borderId="0" xfId="61" applyFont="1" applyAlignment="1">
      <alignment/>
    </xf>
    <xf numFmtId="0" fontId="0" fillId="0" borderId="0" xfId="0" applyFont="1" applyAlignment="1">
      <alignment horizontal="right"/>
    </xf>
    <xf numFmtId="189" fontId="0" fillId="0" borderId="0" xfId="42" applyNumberFormat="1" applyFont="1" applyBorder="1" applyAlignment="1">
      <alignment horizontal="center"/>
    </xf>
    <xf numFmtId="10" fontId="0" fillId="0" borderId="0" xfId="61" applyNumberFormat="1" applyFont="1" applyAlignment="1">
      <alignment/>
    </xf>
    <xf numFmtId="0" fontId="10" fillId="0" borderId="0" xfId="0" applyFont="1" applyFill="1" applyAlignment="1">
      <alignment/>
    </xf>
    <xf numFmtId="189" fontId="6" fillId="0" borderId="0" xfId="42" applyNumberFormat="1" applyFont="1" applyFill="1" applyBorder="1" applyAlignment="1">
      <alignment/>
    </xf>
    <xf numFmtId="189" fontId="17" fillId="0" borderId="0" xfId="42" applyNumberFormat="1" applyFont="1" applyFill="1" applyBorder="1" applyAlignment="1">
      <alignment/>
    </xf>
    <xf numFmtId="43" fontId="0" fillId="0" borderId="18" xfId="42" applyFont="1" applyBorder="1" applyAlignment="1">
      <alignment/>
    </xf>
    <xf numFmtId="0" fontId="0" fillId="0" borderId="19" xfId="0" applyBorder="1" applyAlignment="1">
      <alignment/>
    </xf>
    <xf numFmtId="43" fontId="3" fillId="0" borderId="20" xfId="42" applyFont="1" applyBorder="1" applyAlignment="1">
      <alignment horizontal="center"/>
    </xf>
    <xf numFmtId="43" fontId="3" fillId="0" borderId="21" xfId="42" applyFont="1" applyBorder="1" applyAlignment="1">
      <alignment horizontal="center"/>
    </xf>
    <xf numFmtId="43" fontId="3" fillId="0" borderId="22" xfId="42" applyFont="1" applyBorder="1" applyAlignment="1">
      <alignment horizontal="center"/>
    </xf>
    <xf numFmtId="43" fontId="3" fillId="0" borderId="19" xfId="42" applyFont="1" applyBorder="1" applyAlignment="1">
      <alignment horizontal="center"/>
    </xf>
    <xf numFmtId="0" fontId="0" fillId="0" borderId="21" xfId="0" applyBorder="1" applyAlignment="1">
      <alignment/>
    </xf>
    <xf numFmtId="43" fontId="0" fillId="0" borderId="23" xfId="42" applyFont="1" applyBorder="1" applyAlignment="1">
      <alignment/>
    </xf>
    <xf numFmtId="43" fontId="0" fillId="0" borderId="24" xfId="42" applyFont="1" applyBorder="1" applyAlignment="1">
      <alignment/>
    </xf>
    <xf numFmtId="43" fontId="0" fillId="0" borderId="25" xfId="42" applyFont="1" applyBorder="1" applyAlignment="1">
      <alignment/>
    </xf>
    <xf numFmtId="189"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89" fontId="0" fillId="0" borderId="0" xfId="42" applyNumberFormat="1" applyAlignment="1">
      <alignment/>
    </xf>
    <xf numFmtId="189" fontId="0" fillId="0" borderId="0" xfId="42" applyNumberFormat="1" applyFont="1" applyAlignment="1">
      <alignment/>
    </xf>
    <xf numFmtId="189" fontId="0" fillId="0" borderId="0" xfId="42" applyNumberFormat="1" applyBorder="1" applyAlignment="1">
      <alignment/>
    </xf>
    <xf numFmtId="189" fontId="0" fillId="0" borderId="14" xfId="42" applyNumberFormat="1" applyBorder="1" applyAlignment="1">
      <alignment/>
    </xf>
    <xf numFmtId="189" fontId="0" fillId="0" borderId="16" xfId="42" applyNumberFormat="1" applyBorder="1" applyAlignment="1">
      <alignment/>
    </xf>
    <xf numFmtId="189"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89" fontId="4" fillId="0" borderId="0" xfId="0" applyNumberFormat="1" applyFont="1" applyAlignment="1">
      <alignment/>
    </xf>
    <xf numFmtId="189" fontId="21" fillId="0" borderId="0" xfId="0" applyNumberFormat="1" applyFont="1" applyAlignment="1" quotePrefix="1">
      <alignment horizontal="left"/>
    </xf>
    <xf numFmtId="189" fontId="22" fillId="0" borderId="0" xfId="0" applyNumberFormat="1" applyFont="1" applyAlignment="1">
      <alignment/>
    </xf>
    <xf numFmtId="189" fontId="22" fillId="0" borderId="0" xfId="42" applyNumberFormat="1" applyFont="1" applyAlignment="1">
      <alignment horizontal="right"/>
    </xf>
    <xf numFmtId="189" fontId="22" fillId="0" borderId="0" xfId="42" applyNumberFormat="1" applyFont="1" applyAlignment="1">
      <alignment horizontal="center"/>
    </xf>
    <xf numFmtId="189" fontId="22" fillId="0" borderId="0" xfId="42" applyNumberFormat="1" applyFont="1" applyAlignment="1">
      <alignment horizontal="left"/>
    </xf>
    <xf numFmtId="189" fontId="22" fillId="0" borderId="0" xfId="42" applyNumberFormat="1" applyFont="1" applyAlignment="1">
      <alignment/>
    </xf>
    <xf numFmtId="189" fontId="22" fillId="0" borderId="0" xfId="42" applyNumberFormat="1" applyFont="1" applyFill="1" applyAlignment="1">
      <alignment horizontal="left"/>
    </xf>
    <xf numFmtId="189" fontId="22" fillId="0" borderId="0" xfId="0" applyNumberFormat="1" applyFont="1" applyAlignment="1">
      <alignment horizontal="left"/>
    </xf>
    <xf numFmtId="189" fontId="4" fillId="0" borderId="0" xfId="0" applyNumberFormat="1" applyFont="1" applyAlignment="1">
      <alignment horizontal="left"/>
    </xf>
    <xf numFmtId="189" fontId="22" fillId="0" borderId="0" xfId="0" applyNumberFormat="1" applyFont="1" applyBorder="1" applyAlignment="1">
      <alignment horizontal="center"/>
    </xf>
    <xf numFmtId="189" fontId="22" fillId="0" borderId="0" xfId="42" applyNumberFormat="1" applyFont="1" applyBorder="1" applyAlignment="1">
      <alignment horizontal="right"/>
    </xf>
    <xf numFmtId="189" fontId="22" fillId="0" borderId="0" xfId="42" applyNumberFormat="1" applyFont="1" applyBorder="1" applyAlignment="1">
      <alignment horizontal="center"/>
    </xf>
    <xf numFmtId="189" fontId="22" fillId="0" borderId="0" xfId="42" applyNumberFormat="1" applyFont="1" applyFill="1" applyBorder="1" applyAlignment="1">
      <alignment horizontal="center"/>
    </xf>
    <xf numFmtId="189" fontId="22" fillId="0" borderId="0" xfId="0" applyNumberFormat="1" applyFont="1" applyBorder="1" applyAlignment="1">
      <alignment/>
    </xf>
    <xf numFmtId="189" fontId="22" fillId="0" borderId="0" xfId="42" applyNumberFormat="1" applyFont="1" applyBorder="1" applyAlignment="1">
      <alignment/>
    </xf>
    <xf numFmtId="0" fontId="22" fillId="0" borderId="0" xfId="42" applyNumberFormat="1" applyFont="1" applyBorder="1" applyAlignment="1">
      <alignment horizontal="center"/>
    </xf>
    <xf numFmtId="189" fontId="22" fillId="0" borderId="0" xfId="0" applyNumberFormat="1" applyFont="1" applyBorder="1" applyAlignment="1">
      <alignment horizontal="left"/>
    </xf>
    <xf numFmtId="1" fontId="22" fillId="0" borderId="0" xfId="42" applyNumberFormat="1" applyFont="1" applyBorder="1" applyAlignment="1">
      <alignment horizontal="center"/>
    </xf>
    <xf numFmtId="189" fontId="22" fillId="0" borderId="0" xfId="42" applyNumberFormat="1" applyFont="1" applyBorder="1" applyAlignment="1">
      <alignment/>
    </xf>
    <xf numFmtId="189" fontId="22" fillId="0" borderId="0" xfId="42" applyNumberFormat="1" applyFont="1" applyFill="1" applyBorder="1" applyAlignment="1">
      <alignment horizontal="right"/>
    </xf>
    <xf numFmtId="189" fontId="22" fillId="0" borderId="0" xfId="0" applyNumberFormat="1" applyFont="1" applyAlignment="1">
      <alignment horizontal="right"/>
    </xf>
    <xf numFmtId="189" fontId="22" fillId="0" borderId="0" xfId="42" applyNumberFormat="1" applyFont="1" applyAlignment="1" quotePrefix="1">
      <alignment horizontal="center"/>
    </xf>
    <xf numFmtId="189" fontId="24" fillId="0" borderId="0" xfId="0" applyNumberFormat="1" applyFont="1" applyAlignment="1">
      <alignment horizontal="left"/>
    </xf>
    <xf numFmtId="189" fontId="22" fillId="0" borderId="0" xfId="42" applyNumberFormat="1" applyFont="1" applyAlignment="1">
      <alignment/>
    </xf>
    <xf numFmtId="189" fontId="22" fillId="0" borderId="26" xfId="42" applyNumberFormat="1" applyFont="1" applyBorder="1" applyAlignment="1">
      <alignment horizontal="right"/>
    </xf>
    <xf numFmtId="189" fontId="4" fillId="0" borderId="27" xfId="42" applyNumberFormat="1" applyFont="1" applyBorder="1" applyAlignment="1">
      <alignment horizontal="right"/>
    </xf>
    <xf numFmtId="189" fontId="4" fillId="0" borderId="0" xfId="42" applyNumberFormat="1" applyFont="1" applyBorder="1" applyAlignment="1">
      <alignment horizontal="right"/>
    </xf>
    <xf numFmtId="189" fontId="22" fillId="0" borderId="0" xfId="0" applyNumberFormat="1" applyFont="1" applyAlignment="1" quotePrefix="1">
      <alignment horizontal="left"/>
    </xf>
    <xf numFmtId="189" fontId="22" fillId="0" borderId="13" xfId="42" applyNumberFormat="1" applyFont="1" applyBorder="1" applyAlignment="1">
      <alignment horizontal="right"/>
    </xf>
    <xf numFmtId="189" fontId="22" fillId="0" borderId="0" xfId="42" applyNumberFormat="1" applyFont="1" applyFill="1" applyAlignment="1">
      <alignment/>
    </xf>
    <xf numFmtId="189" fontId="22" fillId="0" borderId="28" xfId="0" applyNumberFormat="1" applyFont="1" applyBorder="1" applyAlignment="1">
      <alignment horizontal="left"/>
    </xf>
    <xf numFmtId="189" fontId="22" fillId="0" borderId="26" xfId="0" applyNumberFormat="1" applyFont="1" applyBorder="1" applyAlignment="1">
      <alignment/>
    </xf>
    <xf numFmtId="189" fontId="22" fillId="0" borderId="26" xfId="0" applyNumberFormat="1" applyFont="1" applyBorder="1" applyAlignment="1">
      <alignment horizontal="left"/>
    </xf>
    <xf numFmtId="0" fontId="22" fillId="0" borderId="26" xfId="42" applyNumberFormat="1" applyFont="1" applyBorder="1" applyAlignment="1">
      <alignment horizontal="center"/>
    </xf>
    <xf numFmtId="189" fontId="22" fillId="0" borderId="29" xfId="0" applyNumberFormat="1" applyFont="1" applyBorder="1" applyAlignment="1">
      <alignment horizontal="left"/>
    </xf>
    <xf numFmtId="189" fontId="4" fillId="0" borderId="0" xfId="42" applyNumberFormat="1" applyFont="1" applyBorder="1" applyAlignment="1">
      <alignment horizontal="center"/>
    </xf>
    <xf numFmtId="189" fontId="25" fillId="0" borderId="0" xfId="42" applyNumberFormat="1" applyFont="1" applyBorder="1" applyAlignment="1">
      <alignment horizontal="right"/>
    </xf>
    <xf numFmtId="189" fontId="22" fillId="0" borderId="0" xfId="42" applyNumberFormat="1" applyFont="1" applyFill="1" applyAlignment="1">
      <alignment/>
    </xf>
    <xf numFmtId="189" fontId="22" fillId="0" borderId="14" xfId="42" applyNumberFormat="1" applyFont="1" applyBorder="1" applyAlignment="1">
      <alignment horizontal="right"/>
    </xf>
    <xf numFmtId="189" fontId="26" fillId="0" borderId="0" xfId="42" applyNumberFormat="1" applyFont="1" applyFill="1" applyAlignment="1">
      <alignment horizontal="right"/>
    </xf>
    <xf numFmtId="189" fontId="26" fillId="0" borderId="0" xfId="42" applyNumberFormat="1" applyFont="1" applyFill="1" applyAlignment="1">
      <alignment horizontal="left"/>
    </xf>
    <xf numFmtId="189" fontId="22" fillId="0" borderId="0" xfId="0" applyNumberFormat="1" applyFont="1" applyBorder="1" applyAlignment="1" quotePrefix="1">
      <alignment horizontal="left"/>
    </xf>
    <xf numFmtId="189" fontId="22" fillId="0" borderId="16" xfId="42" applyNumberFormat="1" applyFont="1" applyBorder="1" applyAlignment="1">
      <alignment horizontal="right"/>
    </xf>
    <xf numFmtId="189" fontId="22" fillId="0" borderId="13" xfId="42" applyNumberFormat="1" applyFont="1" applyBorder="1" applyAlignment="1">
      <alignment horizontal="center"/>
    </xf>
    <xf numFmtId="189" fontId="22" fillId="0" borderId="30" xfId="0" applyNumberFormat="1" applyFont="1" applyBorder="1" applyAlignment="1">
      <alignment horizontal="left"/>
    </xf>
    <xf numFmtId="189" fontId="22" fillId="0" borderId="14" xfId="0" applyNumberFormat="1" applyFont="1" applyBorder="1" applyAlignment="1">
      <alignment horizontal="left"/>
    </xf>
    <xf numFmtId="189" fontId="26" fillId="0" borderId="0" xfId="42" applyNumberFormat="1" applyFont="1" applyFill="1" applyAlignment="1">
      <alignment/>
    </xf>
    <xf numFmtId="189" fontId="26" fillId="0" borderId="0" xfId="42" applyNumberFormat="1" applyFont="1" applyFill="1" applyBorder="1" applyAlignment="1">
      <alignment/>
    </xf>
    <xf numFmtId="189" fontId="5" fillId="0" borderId="0" xfId="42" applyNumberFormat="1" applyFont="1" applyAlignment="1">
      <alignment horizontal="left"/>
    </xf>
    <xf numFmtId="189" fontId="11" fillId="0" borderId="0" xfId="42" applyNumberFormat="1" applyFont="1" applyAlignment="1">
      <alignment/>
    </xf>
    <xf numFmtId="189" fontId="11" fillId="0" borderId="0" xfId="42" applyNumberFormat="1" applyFont="1" applyBorder="1" applyAlignment="1">
      <alignment/>
    </xf>
    <xf numFmtId="189" fontId="11" fillId="0" borderId="0" xfId="42" applyNumberFormat="1" applyFont="1" applyFill="1" applyAlignment="1">
      <alignment/>
    </xf>
    <xf numFmtId="189" fontId="5" fillId="0" borderId="0" xfId="42" applyNumberFormat="1" applyFont="1" applyAlignment="1">
      <alignment horizontal="center"/>
    </xf>
    <xf numFmtId="189" fontId="5" fillId="0" borderId="0" xfId="42" applyNumberFormat="1" applyFont="1" applyBorder="1" applyAlignment="1">
      <alignment horizontal="center"/>
    </xf>
    <xf numFmtId="189" fontId="5" fillId="0" borderId="0" xfId="42" applyNumberFormat="1" applyFont="1" applyAlignment="1">
      <alignment/>
    </xf>
    <xf numFmtId="189" fontId="27" fillId="0" borderId="0" xfId="42" applyNumberFormat="1" applyFont="1" applyAlignment="1">
      <alignment horizontal="center"/>
    </xf>
    <xf numFmtId="189" fontId="5" fillId="0" borderId="0" xfId="42" applyNumberFormat="1" applyFont="1" applyFill="1" applyBorder="1" applyAlignment="1">
      <alignment horizontal="center"/>
    </xf>
    <xf numFmtId="189" fontId="5" fillId="0" borderId="0" xfId="42" applyNumberFormat="1" applyFont="1" applyFill="1" applyAlignment="1">
      <alignment horizontal="center"/>
    </xf>
    <xf numFmtId="189" fontId="5" fillId="22" borderId="20" xfId="42" applyNumberFormat="1" applyFont="1" applyFill="1" applyBorder="1" applyAlignment="1">
      <alignment horizontal="center"/>
    </xf>
    <xf numFmtId="189" fontId="11" fillId="0" borderId="0" xfId="42" applyNumberFormat="1" applyFont="1" applyBorder="1" applyAlignment="1">
      <alignment horizontal="center"/>
    </xf>
    <xf numFmtId="189" fontId="11" fillId="0" borderId="0" xfId="42" applyNumberFormat="1" applyFont="1" applyAlignment="1">
      <alignment horizontal="center"/>
    </xf>
    <xf numFmtId="189" fontId="11" fillId="0" borderId="0" xfId="42" applyNumberFormat="1" applyFont="1" applyFill="1" applyAlignment="1">
      <alignment horizontal="center"/>
    </xf>
    <xf numFmtId="189" fontId="5" fillId="22" borderId="23" xfId="42" applyNumberFormat="1" applyFont="1" applyFill="1" applyBorder="1" applyAlignment="1">
      <alignment horizontal="center"/>
    </xf>
    <xf numFmtId="189" fontId="28" fillId="0" borderId="0" xfId="42" applyNumberFormat="1" applyFont="1" applyAlignment="1">
      <alignment/>
    </xf>
    <xf numFmtId="189" fontId="5" fillId="0" borderId="0" xfId="42" applyNumberFormat="1" applyFont="1" applyBorder="1" applyAlignment="1">
      <alignment/>
    </xf>
    <xf numFmtId="189" fontId="5" fillId="22" borderId="23" xfId="42" applyNumberFormat="1" applyFont="1" applyFill="1" applyBorder="1" applyAlignment="1">
      <alignment/>
    </xf>
    <xf numFmtId="189" fontId="11" fillId="0" borderId="0" xfId="42" applyNumberFormat="1" applyFont="1" applyFill="1" applyBorder="1" applyAlignment="1">
      <alignment/>
    </xf>
    <xf numFmtId="189" fontId="5" fillId="22" borderId="23" xfId="42" applyNumberFormat="1" applyFont="1" applyFill="1" applyBorder="1" applyAlignment="1">
      <alignment horizontal="right"/>
    </xf>
    <xf numFmtId="189" fontId="11" fillId="0" borderId="0" xfId="42" applyNumberFormat="1" applyFont="1" applyBorder="1" applyAlignment="1">
      <alignment horizontal="right"/>
    </xf>
    <xf numFmtId="189" fontId="11" fillId="0" borderId="14" xfId="42" applyNumberFormat="1" applyFont="1" applyFill="1" applyBorder="1" applyAlignment="1">
      <alignment/>
    </xf>
    <xf numFmtId="189" fontId="11" fillId="0" borderId="26" xfId="42" applyNumberFormat="1" applyFont="1" applyBorder="1" applyAlignment="1">
      <alignment/>
    </xf>
    <xf numFmtId="189" fontId="11" fillId="0" borderId="0" xfId="42" applyNumberFormat="1" applyFont="1" applyFill="1" applyBorder="1" applyAlignment="1">
      <alignment horizontal="right"/>
    </xf>
    <xf numFmtId="189" fontId="5" fillId="22" borderId="31" xfId="42" applyNumberFormat="1" applyFont="1" applyFill="1" applyBorder="1" applyAlignment="1">
      <alignment horizontal="right"/>
    </xf>
    <xf numFmtId="189" fontId="11" fillId="0" borderId="14" xfId="42" applyNumberFormat="1" applyFont="1" applyBorder="1" applyAlignment="1">
      <alignment/>
    </xf>
    <xf numFmtId="189" fontId="11" fillId="0" borderId="14" xfId="42" applyNumberFormat="1" applyFont="1" applyFill="1" applyBorder="1" applyAlignment="1">
      <alignment horizontal="right"/>
    </xf>
    <xf numFmtId="189" fontId="5" fillId="22" borderId="32" xfId="0" applyNumberFormat="1" applyFont="1" applyFill="1" applyBorder="1" applyAlignment="1">
      <alignment/>
    </xf>
    <xf numFmtId="0" fontId="2" fillId="22" borderId="31" xfId="0" applyFont="1" applyFill="1" applyBorder="1" applyAlignment="1">
      <alignment/>
    </xf>
    <xf numFmtId="189" fontId="11" fillId="0" borderId="14" xfId="0" applyNumberFormat="1" applyFont="1" applyBorder="1" applyAlignment="1">
      <alignment/>
    </xf>
    <xf numFmtId="0" fontId="11" fillId="0" borderId="0" xfId="0" applyFont="1" applyBorder="1" applyAlignment="1">
      <alignment/>
    </xf>
    <xf numFmtId="0" fontId="2" fillId="22" borderId="23" xfId="0" applyFont="1" applyFill="1" applyBorder="1" applyAlignment="1">
      <alignment/>
    </xf>
    <xf numFmtId="0" fontId="11" fillId="0" borderId="0" xfId="42" applyNumberFormat="1" applyFont="1" applyAlignment="1" quotePrefix="1">
      <alignment horizontal="left"/>
    </xf>
    <xf numFmtId="189" fontId="11" fillId="0" borderId="16" xfId="42" applyNumberFormat="1" applyFont="1" applyBorder="1" applyAlignment="1">
      <alignment/>
    </xf>
    <xf numFmtId="189" fontId="11" fillId="0" borderId="16" xfId="42" applyNumberFormat="1" applyFont="1" applyFill="1" applyBorder="1" applyAlignment="1">
      <alignment/>
    </xf>
    <xf numFmtId="189" fontId="5" fillId="22"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22" borderId="21" xfId="0" applyFont="1" applyFill="1" applyBorder="1" applyAlignment="1">
      <alignment/>
    </xf>
    <xf numFmtId="189" fontId="5" fillId="0" borderId="0" xfId="42" applyNumberFormat="1" applyFont="1" applyFill="1" applyAlignment="1">
      <alignment/>
    </xf>
    <xf numFmtId="189" fontId="5" fillId="22" borderId="20" xfId="42" applyNumberFormat="1" applyFont="1" applyFill="1" applyBorder="1" applyAlignment="1">
      <alignment/>
    </xf>
    <xf numFmtId="189" fontId="28" fillId="0" borderId="0" xfId="42" applyNumberFormat="1" applyFont="1" applyFill="1" applyBorder="1" applyAlignment="1">
      <alignment horizontal="center"/>
    </xf>
    <xf numFmtId="189" fontId="11" fillId="7" borderId="14" xfId="42" applyNumberFormat="1" applyFont="1" applyFill="1" applyBorder="1" applyAlignment="1">
      <alignment/>
    </xf>
    <xf numFmtId="189" fontId="28" fillId="0" borderId="0" xfId="0" applyNumberFormat="1" applyFont="1" applyBorder="1" applyAlignment="1">
      <alignment horizontal="center"/>
    </xf>
    <xf numFmtId="189" fontId="28" fillId="0" borderId="0" xfId="42" applyNumberFormat="1" applyFont="1" applyBorder="1" applyAlignment="1">
      <alignment horizontal="center"/>
    </xf>
    <xf numFmtId="189" fontId="5" fillId="22" borderId="32" xfId="42" applyNumberFormat="1" applyFont="1" applyFill="1" applyBorder="1" applyAlignment="1">
      <alignment horizontal="right"/>
    </xf>
    <xf numFmtId="189" fontId="27" fillId="22" borderId="23" xfId="42" applyNumberFormat="1" applyFont="1" applyFill="1" applyBorder="1" applyAlignment="1">
      <alignment horizontal="right"/>
    </xf>
    <xf numFmtId="189"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89"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89" fontId="30" fillId="0" borderId="0" xfId="0" applyNumberFormat="1" applyFont="1" applyBorder="1" applyAlignment="1">
      <alignment/>
    </xf>
    <xf numFmtId="0" fontId="29" fillId="0" borderId="0" xfId="0" applyFont="1" applyAlignment="1">
      <alignment/>
    </xf>
    <xf numFmtId="0" fontId="31" fillId="22" borderId="23" xfId="0" applyFont="1" applyFill="1" applyBorder="1" applyAlignment="1">
      <alignment/>
    </xf>
    <xf numFmtId="0" fontId="2" fillId="0" borderId="0" xfId="0" applyFont="1" applyFill="1" applyBorder="1" applyAlignment="1">
      <alignment/>
    </xf>
    <xf numFmtId="189" fontId="2" fillId="0" borderId="0" xfId="42" applyNumberFormat="1" applyFont="1" applyAlignment="1">
      <alignment horizontal="left"/>
    </xf>
    <xf numFmtId="189" fontId="0" fillId="0" borderId="0" xfId="42" applyNumberFormat="1" applyFill="1" applyAlignment="1">
      <alignment/>
    </xf>
    <xf numFmtId="189" fontId="2" fillId="0" borderId="0" xfId="42" applyNumberFormat="1" applyFont="1" applyFill="1" applyAlignment="1">
      <alignment horizontal="center"/>
    </xf>
    <xf numFmtId="189" fontId="0" fillId="0" borderId="0" xfId="42" applyNumberFormat="1" applyFont="1" applyAlignment="1">
      <alignment horizontal="center"/>
    </xf>
    <xf numFmtId="189" fontId="0" fillId="0" borderId="0" xfId="42" applyNumberFormat="1" applyFont="1" applyFill="1" applyAlignment="1">
      <alignment horizontal="center"/>
    </xf>
    <xf numFmtId="189" fontId="0" fillId="0" borderId="0" xfId="42" applyNumberFormat="1" applyFont="1" applyAlignment="1">
      <alignment horizontal="left"/>
    </xf>
    <xf numFmtId="189" fontId="0" fillId="0" borderId="14" xfId="42" applyNumberFormat="1" applyFont="1" applyBorder="1" applyAlignment="1">
      <alignment horizontal="center"/>
    </xf>
    <xf numFmtId="189" fontId="2" fillId="0" borderId="14" xfId="42" applyNumberFormat="1" applyFont="1" applyFill="1" applyBorder="1" applyAlignment="1">
      <alignment horizontal="center"/>
    </xf>
    <xf numFmtId="189" fontId="0" fillId="0" borderId="0" xfId="42" applyNumberFormat="1" applyFont="1" applyAlignment="1" quotePrefix="1">
      <alignment horizontal="left"/>
    </xf>
    <xf numFmtId="189" fontId="0" fillId="0" borderId="0" xfId="42" applyNumberFormat="1" applyFont="1" applyBorder="1" applyAlignment="1">
      <alignment horizontal="center"/>
    </xf>
    <xf numFmtId="189" fontId="0" fillId="0" borderId="0" xfId="42" applyNumberFormat="1" applyFont="1" applyFill="1" applyBorder="1" applyAlignment="1">
      <alignment horizontal="center"/>
    </xf>
    <xf numFmtId="189" fontId="0" fillId="0" borderId="16" xfId="42" applyNumberFormat="1" applyFont="1" applyBorder="1" applyAlignment="1">
      <alignment horizontal="center"/>
    </xf>
    <xf numFmtId="189" fontId="0" fillId="0" borderId="26" xfId="42" applyNumberFormat="1" applyFont="1" applyBorder="1" applyAlignment="1">
      <alignment horizontal="center"/>
    </xf>
    <xf numFmtId="189" fontId="0" fillId="0" borderId="26" xfId="42" applyNumberFormat="1" applyFont="1" applyFill="1" applyBorder="1" applyAlignment="1">
      <alignment horizontal="center"/>
    </xf>
    <xf numFmtId="189" fontId="0" fillId="0" borderId="16" xfId="42" applyNumberFormat="1" applyFont="1" applyFill="1" applyBorder="1" applyAlignment="1">
      <alignment horizontal="center"/>
    </xf>
    <xf numFmtId="189" fontId="0" fillId="0" borderId="0" xfId="42" applyNumberFormat="1" applyFill="1" applyBorder="1" applyAlignment="1">
      <alignment/>
    </xf>
    <xf numFmtId="189" fontId="2" fillId="0" borderId="0" xfId="42" applyNumberFormat="1" applyFont="1" applyBorder="1" applyAlignment="1">
      <alignment horizontal="center"/>
    </xf>
    <xf numFmtId="189" fontId="0" fillId="0" borderId="26" xfId="42" applyNumberFormat="1" applyBorder="1" applyAlignment="1">
      <alignment/>
    </xf>
    <xf numFmtId="189" fontId="0" fillId="0" borderId="26" xfId="42" applyNumberFormat="1" applyFill="1" applyBorder="1" applyAlignment="1">
      <alignment/>
    </xf>
    <xf numFmtId="189" fontId="0" fillId="0" borderId="16" xfId="42" applyNumberFormat="1" applyFill="1" applyBorder="1" applyAlignment="1">
      <alignment/>
    </xf>
    <xf numFmtId="189" fontId="0" fillId="0" borderId="14" xfId="42" applyNumberFormat="1" applyFill="1" applyBorder="1" applyAlignment="1">
      <alignment/>
    </xf>
    <xf numFmtId="189" fontId="0" fillId="0" borderId="13" xfId="42" applyNumberFormat="1" applyFill="1" applyBorder="1" applyAlignment="1">
      <alignment/>
    </xf>
    <xf numFmtId="189" fontId="0" fillId="0" borderId="27" xfId="42" applyNumberFormat="1" applyBorder="1" applyAlignment="1">
      <alignment/>
    </xf>
    <xf numFmtId="189" fontId="0" fillId="0" borderId="27" xfId="42" applyNumberFormat="1" applyFont="1" applyBorder="1" applyAlignment="1">
      <alignment/>
    </xf>
    <xf numFmtId="189" fontId="0" fillId="0" borderId="27" xfId="42" applyNumberFormat="1" applyFill="1" applyBorder="1" applyAlignment="1">
      <alignment/>
    </xf>
    <xf numFmtId="189" fontId="32" fillId="0" borderId="0" xfId="42" applyNumberFormat="1" applyFont="1" applyAlignment="1">
      <alignment/>
    </xf>
    <xf numFmtId="189" fontId="0" fillId="0" borderId="0" xfId="42" applyNumberFormat="1" applyFont="1" applyAlignment="1" quotePrefix="1">
      <alignment/>
    </xf>
    <xf numFmtId="43" fontId="22" fillId="0" borderId="0" xfId="42" applyNumberFormat="1" applyFont="1" applyBorder="1" applyAlignment="1">
      <alignment horizontal="center"/>
    </xf>
    <xf numFmtId="189" fontId="11" fillId="0" borderId="0" xfId="0" applyNumberFormat="1" applyFont="1" applyFill="1" applyBorder="1" applyAlignment="1">
      <alignment/>
    </xf>
    <xf numFmtId="189"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43" fontId="6" fillId="0" borderId="0" xfId="42" applyNumberFormat="1" applyFont="1" applyAlignment="1">
      <alignment/>
    </xf>
    <xf numFmtId="43" fontId="6" fillId="0" borderId="0" xfId="42" applyNumberFormat="1" applyFont="1" applyAlignment="1">
      <alignment/>
    </xf>
    <xf numFmtId="189" fontId="0" fillId="0" borderId="13" xfId="42" applyNumberFormat="1" applyFont="1" applyFill="1" applyBorder="1" applyAlignment="1">
      <alignment/>
    </xf>
    <xf numFmtId="43" fontId="0" fillId="0" borderId="13" xfId="42" applyNumberFormat="1" applyFont="1" applyBorder="1" applyAlignment="1">
      <alignment/>
    </xf>
    <xf numFmtId="43" fontId="6" fillId="22" borderId="0" xfId="0" applyNumberFormat="1" applyFont="1" applyFill="1" applyAlignment="1">
      <alignment/>
    </xf>
    <xf numFmtId="43" fontId="0" fillId="0" borderId="0" xfId="42" applyNumberFormat="1" applyFont="1" applyBorder="1" applyAlignment="1">
      <alignment/>
    </xf>
    <xf numFmtId="43" fontId="8" fillId="0" borderId="0" xfId="0" applyNumberFormat="1" applyFont="1" applyAlignment="1">
      <alignment/>
    </xf>
    <xf numFmtId="43" fontId="0" fillId="22" borderId="0" xfId="42" applyNumberFormat="1" applyFont="1" applyFill="1" applyAlignment="1">
      <alignment/>
    </xf>
    <xf numFmtId="43" fontId="0" fillId="22" borderId="0" xfId="0" applyNumberFormat="1" applyFill="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26" xfId="42" applyNumberFormat="1" applyFont="1" applyBorder="1" applyAlignment="1">
      <alignment/>
    </xf>
    <xf numFmtId="43" fontId="0" fillId="0" borderId="0" xfId="42" applyNumberFormat="1" applyFont="1" applyFill="1" applyBorder="1" applyAlignment="1">
      <alignment/>
    </xf>
    <xf numFmtId="43" fontId="0" fillId="0" borderId="0" xfId="42" applyNumberFormat="1" applyFont="1" applyAlignment="1">
      <alignment horizontal="center"/>
    </xf>
    <xf numFmtId="43" fontId="0" fillId="0" borderId="0" xfId="42" applyNumberFormat="1" applyFont="1" applyFill="1" applyAlignment="1">
      <alignment/>
    </xf>
    <xf numFmtId="189" fontId="0" fillId="0" borderId="0" xfId="42" applyNumberFormat="1" applyFont="1" applyFill="1" applyBorder="1" applyAlignment="1">
      <alignment horizontal="center"/>
    </xf>
    <xf numFmtId="43" fontId="0" fillId="0" borderId="0" xfId="42" applyNumberFormat="1" applyFont="1" applyFill="1" applyAlignment="1">
      <alignment horizontal="center"/>
    </xf>
    <xf numFmtId="43" fontId="6" fillId="0" borderId="0" xfId="42" applyNumberFormat="1" applyFont="1" applyAlignment="1">
      <alignment horizontal="center"/>
    </xf>
    <xf numFmtId="189" fontId="22" fillId="0" borderId="0" xfId="42" applyNumberFormat="1" applyFont="1" applyFill="1" applyBorder="1" applyAlignment="1">
      <alignment/>
    </xf>
    <xf numFmtId="43" fontId="22" fillId="0" borderId="0" xfId="42" applyNumberFormat="1" applyFont="1" applyBorder="1" applyAlignment="1">
      <alignment/>
    </xf>
    <xf numFmtId="43" fontId="0" fillId="0" borderId="14" xfId="42" applyFill="1" applyBorder="1" applyAlignment="1">
      <alignment/>
    </xf>
    <xf numFmtId="43" fontId="0" fillId="0" borderId="27" xfId="42" applyFill="1" applyBorder="1" applyAlignment="1">
      <alignment/>
    </xf>
    <xf numFmtId="43" fontId="0" fillId="0" borderId="0" xfId="42" applyFont="1" applyFill="1" applyAlignment="1">
      <alignment/>
    </xf>
    <xf numFmtId="43" fontId="0" fillId="0" borderId="13" xfId="42" applyFont="1" applyBorder="1" applyAlignment="1">
      <alignment/>
    </xf>
    <xf numFmtId="189" fontId="6" fillId="0" borderId="0" xfId="42" applyNumberFormat="1" applyFont="1" applyAlignment="1">
      <alignment/>
    </xf>
    <xf numFmtId="189" fontId="1" fillId="0" borderId="0" xfId="42" applyNumberFormat="1" applyFont="1" applyAlignment="1">
      <alignment/>
    </xf>
    <xf numFmtId="189" fontId="0" fillId="0" borderId="0" xfId="42" applyNumberFormat="1" applyFont="1" applyFill="1" applyBorder="1" applyAlignment="1">
      <alignment/>
    </xf>
    <xf numFmtId="189" fontId="0" fillId="0" borderId="34" xfId="42" applyNumberFormat="1" applyFont="1" applyFill="1" applyBorder="1" applyAlignment="1">
      <alignment/>
    </xf>
    <xf numFmtId="189" fontId="0" fillId="0" borderId="35" xfId="42" applyNumberFormat="1" applyFont="1" applyFill="1" applyBorder="1" applyAlignment="1">
      <alignment/>
    </xf>
    <xf numFmtId="189" fontId="0" fillId="0" borderId="36" xfId="42" applyNumberFormat="1" applyFont="1" applyFill="1" applyBorder="1" applyAlignment="1">
      <alignment/>
    </xf>
    <xf numFmtId="189" fontId="0" fillId="0" borderId="10" xfId="42" applyNumberFormat="1" applyFont="1" applyFill="1" applyBorder="1" applyAlignment="1">
      <alignment/>
    </xf>
    <xf numFmtId="189" fontId="0" fillId="0" borderId="11" xfId="42" applyNumberFormat="1" applyFont="1" applyFill="1" applyBorder="1" applyAlignment="1">
      <alignment/>
    </xf>
    <xf numFmtId="189" fontId="0" fillId="0" borderId="12" xfId="42" applyNumberFormat="1" applyFont="1" applyFill="1" applyBorder="1" applyAlignment="1">
      <alignment/>
    </xf>
    <xf numFmtId="189" fontId="0" fillId="0" borderId="13" xfId="42" applyNumberFormat="1" applyFont="1" applyFill="1" applyBorder="1" applyAlignment="1">
      <alignment/>
    </xf>
    <xf numFmtId="189" fontId="0" fillId="0" borderId="14" xfId="42" applyNumberFormat="1" applyFont="1" applyFill="1" applyBorder="1" applyAlignment="1">
      <alignment/>
    </xf>
    <xf numFmtId="189" fontId="6" fillId="0" borderId="0" xfId="42" applyNumberFormat="1" applyFont="1" applyBorder="1" applyAlignment="1">
      <alignment/>
    </xf>
    <xf numFmtId="189" fontId="6" fillId="0" borderId="0" xfId="0" applyNumberFormat="1" applyFont="1" applyAlignment="1">
      <alignment/>
    </xf>
    <xf numFmtId="43" fontId="6" fillId="0" borderId="0" xfId="42" applyNumberFormat="1" applyFont="1" applyAlignment="1" quotePrefix="1">
      <alignment horizontal="center"/>
    </xf>
    <xf numFmtId="188" fontId="0" fillId="0" borderId="0" xfId="42" applyNumberFormat="1" applyFont="1" applyAlignment="1" quotePrefix="1">
      <alignment horizontal="center"/>
    </xf>
    <xf numFmtId="189" fontId="0" fillId="0" borderId="0" xfId="42" applyNumberFormat="1" applyFont="1" applyFill="1" applyAlignment="1" quotePrefix="1">
      <alignment horizontal="center"/>
    </xf>
    <xf numFmtId="189" fontId="0" fillId="0" borderId="0" xfId="42" applyNumberFormat="1" applyFont="1" applyFill="1" applyBorder="1" applyAlignment="1" quotePrefix="1">
      <alignment horizontal="center"/>
    </xf>
    <xf numFmtId="189" fontId="0" fillId="0" borderId="0" xfId="42" applyNumberFormat="1" applyFont="1" applyAlignment="1" quotePrefix="1">
      <alignment horizontal="center"/>
    </xf>
    <xf numFmtId="189" fontId="0" fillId="0" borderId="0" xfId="0" applyNumberFormat="1" applyFont="1" applyBorder="1" applyAlignment="1">
      <alignment/>
    </xf>
    <xf numFmtId="2" fontId="0" fillId="0" borderId="0" xfId="0" applyNumberFormat="1" applyFont="1" applyAlignment="1">
      <alignment/>
    </xf>
    <xf numFmtId="43" fontId="0" fillId="0" borderId="0" xfId="42" applyFont="1" applyBorder="1" applyAlignment="1">
      <alignment/>
    </xf>
    <xf numFmtId="189" fontId="3" fillId="0" borderId="0" xfId="42" applyNumberFormat="1" applyFont="1" applyAlignment="1" quotePrefix="1">
      <alignment horizontal="center"/>
    </xf>
    <xf numFmtId="43" fontId="0" fillId="0" borderId="11" xfId="42" applyFont="1" applyBorder="1" applyAlignment="1">
      <alignment/>
    </xf>
    <xf numFmtId="0" fontId="2" fillId="0" borderId="0" xfId="0" applyFont="1" applyAlignment="1" quotePrefix="1">
      <alignment horizontal="center"/>
    </xf>
    <xf numFmtId="189" fontId="22" fillId="0" borderId="26" xfId="42" applyNumberFormat="1" applyFont="1" applyBorder="1" applyAlignment="1">
      <alignment horizontal="center"/>
    </xf>
    <xf numFmtId="189" fontId="0" fillId="0" borderId="28" xfId="42" applyNumberFormat="1" applyFont="1" applyFill="1" applyBorder="1" applyAlignment="1">
      <alignment/>
    </xf>
    <xf numFmtId="189" fontId="0" fillId="0" borderId="29" xfId="42" applyNumberFormat="1" applyFont="1" applyBorder="1" applyAlignment="1">
      <alignment/>
    </xf>
    <xf numFmtId="189" fontId="0" fillId="0" borderId="29" xfId="42" applyNumberFormat="1" applyFont="1" applyFill="1" applyBorder="1" applyAlignment="1">
      <alignment/>
    </xf>
    <xf numFmtId="189" fontId="0" fillId="0" borderId="30" xfId="42" applyNumberFormat="1" applyFont="1" applyFill="1" applyBorder="1" applyAlignment="1">
      <alignment/>
    </xf>
    <xf numFmtId="37" fontId="0" fillId="0" borderId="14" xfId="0" applyNumberFormat="1" applyFont="1" applyBorder="1" applyAlignment="1">
      <alignment/>
    </xf>
    <xf numFmtId="43" fontId="0" fillId="0" borderId="0" xfId="42" applyFont="1" applyFill="1" applyAlignment="1">
      <alignment/>
    </xf>
    <xf numFmtId="9" fontId="0" fillId="0" borderId="0" xfId="61" applyFont="1" applyAlignment="1">
      <alignment horizontal="center"/>
    </xf>
    <xf numFmtId="43" fontId="22" fillId="0" borderId="27" xfId="42" applyNumberFormat="1" applyFont="1" applyBorder="1" applyAlignment="1">
      <alignment horizontal="right"/>
    </xf>
    <xf numFmtId="40" fontId="22" fillId="0" borderId="14" xfId="42" applyNumberFormat="1" applyFont="1" applyBorder="1" applyAlignment="1">
      <alignment/>
    </xf>
    <xf numFmtId="43" fontId="22" fillId="0" borderId="0" xfId="0" applyNumberFormat="1" applyFont="1" applyAlignment="1">
      <alignment horizontal="right"/>
    </xf>
    <xf numFmtId="43" fontId="22" fillId="0" borderId="0" xfId="42" applyNumberFormat="1" applyFont="1" applyAlignment="1">
      <alignment horizontal="right"/>
    </xf>
    <xf numFmtId="43" fontId="22" fillId="0" borderId="0" xfId="42" applyNumberFormat="1" applyFont="1" applyFill="1" applyAlignment="1">
      <alignment horizontal="right"/>
    </xf>
    <xf numFmtId="43" fontId="22" fillId="0" borderId="0" xfId="42" applyNumberFormat="1" applyFont="1" applyAlignment="1">
      <alignment horizontal="center"/>
    </xf>
    <xf numFmtId="43" fontId="22" fillId="0" borderId="0" xfId="42" applyNumberFormat="1" applyFont="1" applyAlignment="1">
      <alignment/>
    </xf>
    <xf numFmtId="43" fontId="22" fillId="0" borderId="0" xfId="0" applyNumberFormat="1" applyFont="1" applyAlignment="1">
      <alignment horizontal="left"/>
    </xf>
    <xf numFmtId="43" fontId="23" fillId="0" borderId="0" xfId="42" applyNumberFormat="1" applyFont="1" applyAlignment="1">
      <alignment horizontal="right"/>
    </xf>
    <xf numFmtId="43" fontId="22" fillId="0" borderId="0" xfId="42" applyNumberFormat="1" applyFont="1" applyAlignment="1">
      <alignment horizontal="left"/>
    </xf>
    <xf numFmtId="43" fontId="22" fillId="0" borderId="0" xfId="42" applyNumberFormat="1" applyFont="1" applyAlignment="1">
      <alignment/>
    </xf>
    <xf numFmtId="43" fontId="22" fillId="0" borderId="0" xfId="42" applyNumberFormat="1" applyFont="1" applyFill="1" applyAlignment="1">
      <alignment/>
    </xf>
    <xf numFmtId="43" fontId="22" fillId="0" borderId="0" xfId="0" applyNumberFormat="1" applyFont="1" applyAlignment="1">
      <alignment/>
    </xf>
    <xf numFmtId="0" fontId="0" fillId="0" borderId="37" xfId="0" applyBorder="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37" xfId="0" applyFont="1" applyBorder="1" applyAlignment="1">
      <alignment/>
    </xf>
    <xf numFmtId="0" fontId="2" fillId="0" borderId="0" xfId="0" applyFont="1" applyAlignment="1" quotePrefix="1">
      <alignment/>
    </xf>
    <xf numFmtId="189" fontId="0" fillId="0" borderId="16" xfId="42" applyNumberFormat="1" applyFont="1" applyBorder="1" applyAlignment="1">
      <alignment/>
    </xf>
    <xf numFmtId="189" fontId="2" fillId="0" borderId="13" xfId="42" applyNumberFormat="1" applyFont="1" applyBorder="1" applyAlignment="1">
      <alignment/>
    </xf>
    <xf numFmtId="189" fontId="0" fillId="0" borderId="16" xfId="0" applyNumberFormat="1" applyBorder="1" applyAlignment="1">
      <alignment/>
    </xf>
    <xf numFmtId="189" fontId="0" fillId="0" borderId="10" xfId="42" applyNumberFormat="1" applyFont="1" applyBorder="1" applyAlignment="1">
      <alignment/>
    </xf>
    <xf numFmtId="189" fontId="0" fillId="0" borderId="11" xfId="42" applyNumberFormat="1" applyFont="1" applyBorder="1" applyAlignment="1">
      <alignment/>
    </xf>
    <xf numFmtId="189" fontId="2" fillId="0" borderId="16" xfId="42" applyNumberFormat="1" applyFont="1" applyBorder="1" applyAlignment="1">
      <alignment/>
    </xf>
    <xf numFmtId="189" fontId="0" fillId="0" borderId="37" xfId="42" applyNumberFormat="1" applyFont="1" applyBorder="1" applyAlignment="1">
      <alignment/>
    </xf>
    <xf numFmtId="189" fontId="0" fillId="0" borderId="26" xfId="42" applyNumberFormat="1" applyFont="1" applyBorder="1" applyAlignment="1">
      <alignment/>
    </xf>
    <xf numFmtId="41" fontId="0" fillId="0" borderId="0" xfId="42" applyNumberFormat="1" applyFont="1" applyFill="1" applyAlignment="1">
      <alignment/>
    </xf>
    <xf numFmtId="41" fontId="0" fillId="0" borderId="10" xfId="42" applyNumberFormat="1" applyFont="1" applyFill="1" applyBorder="1" applyAlignment="1">
      <alignment/>
    </xf>
    <xf numFmtId="41" fontId="0" fillId="0" borderId="11" xfId="42" applyNumberFormat="1" applyFont="1" applyFill="1" applyBorder="1" applyAlignment="1">
      <alignment/>
    </xf>
    <xf numFmtId="41" fontId="0" fillId="0" borderId="11" xfId="0" applyNumberFormat="1" applyFont="1" applyFill="1" applyBorder="1" applyAlignment="1">
      <alignment/>
    </xf>
    <xf numFmtId="0" fontId="0" fillId="0" borderId="37" xfId="0" applyFill="1" applyBorder="1" applyAlignment="1">
      <alignment/>
    </xf>
    <xf numFmtId="0" fontId="0" fillId="0" borderId="0" xfId="0" applyFill="1" applyAlignment="1">
      <alignment/>
    </xf>
    <xf numFmtId="0" fontId="2" fillId="0" borderId="0" xfId="0" applyFont="1" applyFill="1" applyAlignment="1">
      <alignment/>
    </xf>
    <xf numFmtId="189" fontId="0" fillId="0" borderId="14" xfId="0" applyNumberFormat="1" applyBorder="1" applyAlignment="1">
      <alignment/>
    </xf>
    <xf numFmtId="189" fontId="2" fillId="0" borderId="0" xfId="42" applyNumberFormat="1" applyFont="1" applyFill="1" applyBorder="1" applyAlignment="1">
      <alignment/>
    </xf>
    <xf numFmtId="189" fontId="2" fillId="0" borderId="0" xfId="0" applyNumberFormat="1" applyFont="1" applyAlignment="1">
      <alignment/>
    </xf>
    <xf numFmtId="189" fontId="0" fillId="0" borderId="26" xfId="0" applyNumberFormat="1" applyBorder="1" applyAlignment="1">
      <alignment/>
    </xf>
    <xf numFmtId="189" fontId="0" fillId="0" borderId="27" xfId="0" applyNumberFormat="1" applyBorder="1" applyAlignment="1">
      <alignment/>
    </xf>
    <xf numFmtId="189" fontId="0" fillId="0" borderId="13" xfId="0" applyNumberFormat="1" applyBorder="1" applyAlignment="1">
      <alignment/>
    </xf>
    <xf numFmtId="0" fontId="0" fillId="0" borderId="0" xfId="0" applyFill="1" applyBorder="1" applyAlignment="1">
      <alignment/>
    </xf>
    <xf numFmtId="0" fontId="0" fillId="0" borderId="0" xfId="0" applyAlignment="1">
      <alignment horizontal="right"/>
    </xf>
    <xf numFmtId="189" fontId="0" fillId="0" borderId="12" xfId="42" applyNumberFormat="1" applyFont="1" applyBorder="1" applyAlignment="1">
      <alignment/>
    </xf>
    <xf numFmtId="41" fontId="0" fillId="0" borderId="10" xfId="0" applyNumberFormat="1" applyFont="1" applyFill="1" applyBorder="1" applyAlignment="1">
      <alignment/>
    </xf>
    <xf numFmtId="41" fontId="0" fillId="0" borderId="12" xfId="0" applyNumberFormat="1" applyFont="1" applyFill="1" applyBorder="1" applyAlignment="1">
      <alignment/>
    </xf>
    <xf numFmtId="189" fontId="2" fillId="0" borderId="0" xfId="0" applyNumberFormat="1" applyFont="1" applyFill="1" applyAlignment="1">
      <alignment/>
    </xf>
    <xf numFmtId="41" fontId="2" fillId="0" borderId="0" xfId="0" applyNumberFormat="1" applyFont="1" applyAlignment="1">
      <alignment/>
    </xf>
    <xf numFmtId="189" fontId="0" fillId="0" borderId="37" xfId="42" applyNumberFormat="1" applyFill="1" applyBorder="1" applyAlignment="1">
      <alignment/>
    </xf>
    <xf numFmtId="15" fontId="2" fillId="0" borderId="0" xfId="42" applyNumberFormat="1" applyFont="1" applyFill="1" applyAlignment="1" quotePrefix="1">
      <alignment horizontal="center"/>
    </xf>
    <xf numFmtId="189" fontId="2" fillId="0" borderId="0" xfId="42" applyNumberFormat="1" applyFont="1" applyFill="1" applyAlignment="1">
      <alignment/>
    </xf>
    <xf numFmtId="221" fontId="0" fillId="0" borderId="0" xfId="0" applyNumberFormat="1" applyFont="1" applyFill="1" applyBorder="1" applyAlignment="1">
      <alignment/>
    </xf>
    <xf numFmtId="188" fontId="0" fillId="0" borderId="0" xfId="42" applyNumberFormat="1" applyFont="1" applyBorder="1" applyAlignment="1">
      <alignment/>
    </xf>
    <xf numFmtId="43" fontId="0" fillId="0" borderId="0" xfId="42" applyFill="1" applyAlignment="1">
      <alignment/>
    </xf>
    <xf numFmtId="189" fontId="0" fillId="0" borderId="0" xfId="0" applyNumberFormat="1" applyAlignment="1" quotePrefix="1">
      <alignment/>
    </xf>
    <xf numFmtId="41" fontId="0" fillId="0" borderId="0" xfId="0" applyNumberFormat="1" applyFill="1" applyAlignment="1">
      <alignment/>
    </xf>
    <xf numFmtId="41" fontId="0" fillId="0" borderId="0" xfId="42" applyNumberFormat="1" applyFont="1" applyBorder="1" applyAlignment="1">
      <alignment/>
    </xf>
    <xf numFmtId="41" fontId="0" fillId="0" borderId="0" xfId="42" applyNumberFormat="1" applyFont="1" applyFill="1" applyBorder="1" applyAlignment="1">
      <alignment/>
    </xf>
    <xf numFmtId="189" fontId="0" fillId="0" borderId="10" xfId="42" applyNumberFormat="1" applyFont="1" applyFill="1" applyBorder="1" applyAlignment="1">
      <alignment/>
    </xf>
    <xf numFmtId="189" fontId="0" fillId="0" borderId="11" xfId="42" applyNumberFormat="1" applyFont="1" applyFill="1" applyBorder="1" applyAlignment="1">
      <alignment/>
    </xf>
    <xf numFmtId="189" fontId="0" fillId="0" borderId="12" xfId="42" applyNumberFormat="1" applyFont="1" applyFill="1" applyBorder="1" applyAlignment="1">
      <alignment/>
    </xf>
    <xf numFmtId="0" fontId="2" fillId="0" borderId="0" xfId="0" applyFont="1" applyBorder="1" applyAlignment="1">
      <alignment/>
    </xf>
    <xf numFmtId="0" fontId="33" fillId="0" borderId="0" xfId="0" applyFont="1" applyFill="1" applyAlignment="1">
      <alignment/>
    </xf>
    <xf numFmtId="221" fontId="0" fillId="0" borderId="0" xfId="0" applyNumberFormat="1" applyFont="1" applyAlignment="1">
      <alignment/>
    </xf>
    <xf numFmtId="189" fontId="0" fillId="0" borderId="0" xfId="0" applyNumberFormat="1" applyFill="1" applyAlignment="1">
      <alignment/>
    </xf>
    <xf numFmtId="189" fontId="0" fillId="0" borderId="0" xfId="0" applyNumberFormat="1" applyFont="1" applyFill="1" applyAlignment="1">
      <alignment horizontal="center"/>
    </xf>
    <xf numFmtId="189" fontId="0" fillId="0" borderId="26" xfId="0" applyNumberFormat="1" applyFill="1" applyBorder="1" applyAlignment="1">
      <alignment/>
    </xf>
    <xf numFmtId="0" fontId="0" fillId="0" borderId="26" xfId="0" applyFill="1" applyBorder="1" applyAlignment="1">
      <alignment/>
    </xf>
    <xf numFmtId="0" fontId="0" fillId="0" borderId="0" xfId="0" applyFont="1" applyBorder="1" applyAlignment="1">
      <alignment horizontal="center"/>
    </xf>
    <xf numFmtId="0" fontId="0" fillId="0" borderId="0" xfId="0" applyAlignment="1">
      <alignment wrapText="1"/>
    </xf>
    <xf numFmtId="15" fontId="2" fillId="0" borderId="0" xfId="0" applyNumberFormat="1" applyFont="1" applyFill="1" applyAlignment="1" quotePrefix="1">
      <alignment horizontal="center"/>
    </xf>
    <xf numFmtId="192" fontId="2" fillId="0" borderId="0" xfId="0" applyNumberFormat="1" applyFont="1" applyFill="1" applyAlignment="1">
      <alignment horizontal="center"/>
    </xf>
    <xf numFmtId="15" fontId="2" fillId="0" borderId="0" xfId="0" applyNumberFormat="1" applyFont="1" applyFill="1" applyAlignment="1">
      <alignment horizontal="center"/>
    </xf>
    <xf numFmtId="189" fontId="0" fillId="0" borderId="0" xfId="0" applyNumberFormat="1" applyFill="1" applyBorder="1" applyAlignment="1">
      <alignment/>
    </xf>
    <xf numFmtId="189" fontId="0" fillId="0" borderId="26" xfId="0" applyNumberFormat="1" applyFont="1" applyFill="1" applyBorder="1" applyAlignment="1">
      <alignment horizontal="center"/>
    </xf>
    <xf numFmtId="189" fontId="0" fillId="0" borderId="0" xfId="0" applyNumberFormat="1" applyFill="1" applyBorder="1" applyAlignment="1">
      <alignment horizontal="center"/>
    </xf>
    <xf numFmtId="188" fontId="0" fillId="0" borderId="16" xfId="42" applyNumberFormat="1" applyFont="1" applyFill="1" applyBorder="1" applyAlignment="1">
      <alignment/>
    </xf>
    <xf numFmtId="189" fontId="0" fillId="0" borderId="16" xfId="42" applyNumberFormat="1" applyFont="1" applyBorder="1" applyAlignment="1">
      <alignment/>
    </xf>
    <xf numFmtId="189" fontId="2" fillId="0" borderId="0" xfId="42" applyNumberFormat="1" applyFont="1" applyBorder="1" applyAlignment="1">
      <alignment/>
    </xf>
    <xf numFmtId="189" fontId="2" fillId="0" borderId="14" xfId="42" applyNumberFormat="1" applyFont="1" applyBorder="1" applyAlignment="1">
      <alignment/>
    </xf>
    <xf numFmtId="189" fontId="0" fillId="0" borderId="16" xfId="0" applyNumberFormat="1" applyFont="1" applyBorder="1" applyAlignment="1">
      <alignment/>
    </xf>
    <xf numFmtId="188" fontId="2" fillId="0" borderId="16" xfId="42" applyNumberFormat="1" applyFont="1" applyFill="1" applyBorder="1" applyAlignment="1">
      <alignment/>
    </xf>
    <xf numFmtId="43" fontId="2" fillId="0" borderId="0" xfId="42" applyFont="1" applyFill="1" applyAlignment="1">
      <alignment/>
    </xf>
    <xf numFmtId="188" fontId="2" fillId="0" borderId="16" xfId="42" applyNumberFormat="1" applyFont="1" applyFill="1" applyBorder="1" applyAlignment="1" quotePrefix="1">
      <alignment horizontal="center"/>
    </xf>
    <xf numFmtId="43"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89" fontId="6" fillId="0" borderId="0" xfId="42" applyNumberFormat="1" applyFont="1" applyFill="1" applyAlignment="1">
      <alignment horizontal="center"/>
    </xf>
    <xf numFmtId="189" fontId="2" fillId="0" borderId="14" xfId="42" applyNumberFormat="1" applyFont="1" applyBorder="1" applyAlignment="1">
      <alignment horizontal="center"/>
    </xf>
    <xf numFmtId="0" fontId="33" fillId="0" borderId="0" xfId="0" applyFont="1" applyFill="1" applyAlignment="1">
      <alignment wrapText="1"/>
    </xf>
    <xf numFmtId="0" fontId="2" fillId="0" borderId="37" xfId="0" applyFont="1" applyBorder="1" applyAlignment="1">
      <alignment horizontal="center"/>
    </xf>
    <xf numFmtId="0" fontId="2" fillId="0" borderId="0" xfId="0" applyFont="1" applyAlignment="1">
      <alignment horizontal="center"/>
    </xf>
    <xf numFmtId="0" fontId="2" fillId="0" borderId="40" xfId="0" applyFont="1" applyBorder="1" applyAlignment="1">
      <alignment horizontal="center"/>
    </xf>
    <xf numFmtId="0" fontId="33" fillId="0" borderId="0" xfId="0" applyFont="1" applyFill="1" applyAlignment="1">
      <alignment horizontal="left" wrapText="1"/>
    </xf>
    <xf numFmtId="0" fontId="10" fillId="0" borderId="0" xfId="0" applyFont="1" applyAlignment="1">
      <alignment horizontal="center" wrapText="1"/>
    </xf>
    <xf numFmtId="0" fontId="10" fillId="0" borderId="0" xfId="0" applyFont="1" applyAlignment="1">
      <alignment horizontal="center"/>
    </xf>
    <xf numFmtId="0" fontId="10" fillId="0" borderId="41" xfId="0" applyFont="1" applyBorder="1" applyAlignment="1">
      <alignment horizontal="center"/>
    </xf>
    <xf numFmtId="0" fontId="10" fillId="0" borderId="27" xfId="0" applyFont="1" applyBorder="1" applyAlignment="1">
      <alignment horizontal="center"/>
    </xf>
    <xf numFmtId="0" fontId="10" fillId="0" borderId="42" xfId="0" applyFont="1" applyBorder="1" applyAlignment="1">
      <alignment horizontal="center"/>
    </xf>
    <xf numFmtId="0" fontId="10" fillId="0" borderId="41" xfId="0" applyFont="1" applyBorder="1" applyAlignment="1">
      <alignment horizontal="center"/>
    </xf>
    <xf numFmtId="0" fontId="10" fillId="0" borderId="27" xfId="0" applyFont="1" applyBorder="1" applyAlignment="1">
      <alignment horizontal="center"/>
    </xf>
    <xf numFmtId="0" fontId="10" fillId="0" borderId="42" xfId="0" applyFont="1" applyBorder="1" applyAlignment="1">
      <alignment horizontal="center"/>
    </xf>
    <xf numFmtId="0" fontId="10" fillId="0" borderId="41" xfId="0" applyFont="1" applyBorder="1" applyAlignment="1">
      <alignment horizontal="center" wrapText="1"/>
    </xf>
    <xf numFmtId="0" fontId="10" fillId="0" borderId="42" xfId="0" applyFont="1" applyBorder="1" applyAlignment="1">
      <alignment horizontal="center" wrapText="1"/>
    </xf>
    <xf numFmtId="189" fontId="10" fillId="0" borderId="30" xfId="0" applyNumberFormat="1" applyFont="1" applyBorder="1" applyAlignment="1">
      <alignment horizontal="center"/>
    </xf>
    <xf numFmtId="189" fontId="10" fillId="0" borderId="36" xfId="0" applyNumberFormat="1" applyFont="1" applyBorder="1" applyAlignment="1">
      <alignment horizontal="center"/>
    </xf>
    <xf numFmtId="0" fontId="10" fillId="0" borderId="28" xfId="0" applyFont="1" applyBorder="1" applyAlignment="1">
      <alignment horizontal="center"/>
    </xf>
    <xf numFmtId="0" fontId="10" fillId="0" borderId="34" xfId="0"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189" fontId="10" fillId="0" borderId="29" xfId="42" applyNumberFormat="1" applyFont="1" applyBorder="1" applyAlignment="1">
      <alignment horizontal="center"/>
    </xf>
    <xf numFmtId="189" fontId="10" fillId="0" borderId="35" xfId="42" applyNumberFormat="1" applyFont="1" applyBorder="1" applyAlignment="1">
      <alignment horizontal="center"/>
    </xf>
    <xf numFmtId="43" fontId="10" fillId="0" borderId="29" xfId="42" applyFont="1" applyBorder="1" applyAlignment="1">
      <alignment horizontal="center"/>
    </xf>
    <xf numFmtId="43" fontId="10" fillId="0" borderId="35" xfId="42" applyFont="1" applyBorder="1" applyAlignment="1">
      <alignment horizontal="center"/>
    </xf>
    <xf numFmtId="189" fontId="10" fillId="0" borderId="29" xfId="42" applyNumberFormat="1" applyFont="1" applyBorder="1" applyAlignment="1">
      <alignment/>
    </xf>
    <xf numFmtId="189" fontId="10" fillId="0" borderId="35" xfId="42" applyNumberFormat="1" applyFont="1" applyBorder="1" applyAlignment="1">
      <alignment/>
    </xf>
    <xf numFmtId="189" fontId="10" fillId="0" borderId="43" xfId="0" applyNumberFormat="1" applyFont="1" applyBorder="1" applyAlignment="1">
      <alignment horizontal="center"/>
    </xf>
    <xf numFmtId="189" fontId="10" fillId="0" borderId="44" xfId="0" applyNumberFormat="1" applyFont="1" applyBorder="1" applyAlignment="1">
      <alignment horizontal="center"/>
    </xf>
    <xf numFmtId="189" fontId="10" fillId="0" borderId="28" xfId="0" applyNumberFormat="1" applyFont="1" applyBorder="1" applyAlignment="1">
      <alignment horizontal="center"/>
    </xf>
    <xf numFmtId="189" fontId="10" fillId="0" borderId="34" xfId="0" applyNumberFormat="1" applyFont="1" applyBorder="1" applyAlignment="1">
      <alignment horizontal="center"/>
    </xf>
    <xf numFmtId="43" fontId="10" fillId="0" borderId="30" xfId="42" applyFont="1" applyBorder="1" applyAlignment="1">
      <alignment horizontal="center"/>
    </xf>
    <xf numFmtId="43" fontId="10" fillId="0" borderId="36" xfId="42" applyFont="1" applyBorder="1" applyAlignment="1">
      <alignment horizontal="center"/>
    </xf>
    <xf numFmtId="0" fontId="0" fillId="0" borderId="0" xfId="57" applyFont="1" applyFill="1" applyAlignment="1">
      <alignment horizontal="left" vertical="top" wrapText="1"/>
      <protection/>
    </xf>
    <xf numFmtId="189" fontId="2" fillId="0" borderId="0" xfId="42"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RM2,834million (Q1 : 4,318million) and RM0.524million (Q1 : RM1.285million)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RM2.834million (Q1 : RM4.318million) and RM0.524million (Q1 : RM1.285million)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2,834                               4,318
</a:t>
          </a:r>
          <a:r>
            <a:rPr lang="en-US" cap="none" sz="1100" b="0" i="0" u="none" baseline="0">
              <a:solidFill>
                <a:srgbClr val="000000"/>
              </a:solidFill>
              <a:latin typeface="Arial"/>
              <a:ea typeface="Arial"/>
              <a:cs typeface="Arial"/>
            </a:rPr>
            <a:t>Profit After Tax                                     524                                  1,285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ES%20CERAMICS\Consol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ES%20CERAMICS\Consol%202Q%20YE%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L"/>
      <sheetName val="CBS"/>
      <sheetName val="ESCT-PL"/>
      <sheetName val="ES-PL"/>
      <sheetName val="MC-PL"/>
      <sheetName val="GTR-PL"/>
      <sheetName val="GTRT-PL"/>
      <sheetName val="Relates Parties"/>
      <sheetName val="Interest,Others Income,Depr"/>
      <sheetName val="GTRT-BS"/>
      <sheetName val="ESCT-BS"/>
      <sheetName val="ES-BS"/>
      <sheetName val="MC-BS"/>
      <sheetName val="GTR-BS"/>
      <sheetName val="ES-MA"/>
      <sheetName val="MC-MA"/>
      <sheetName val="GTR-MA"/>
      <sheetName val="GTRT-MA"/>
    </sheetNames>
    <sheetDataSet>
      <sheetData sheetId="1">
        <row r="14">
          <cell r="W14">
            <v>1500000</v>
          </cell>
        </row>
        <row r="56">
          <cell r="W56">
            <v>5296700</v>
          </cell>
        </row>
        <row r="58">
          <cell r="W58">
            <v>3815775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PL"/>
      <sheetName val="CBS"/>
      <sheetName val="CF"/>
      <sheetName val="ECT-FA"/>
      <sheetName val="CJE"/>
      <sheetName val="Relates Parties"/>
      <sheetName val="Interest,Others Income,Depr"/>
      <sheetName val="PL-ESCT"/>
      <sheetName val="PL-ES"/>
      <sheetName val="PL-MC"/>
      <sheetName val="PL-GTR"/>
      <sheetName val="PL-GTRT"/>
      <sheetName val="PL-ECT"/>
      <sheetName val="BS-ESCT"/>
      <sheetName val="BS-ES"/>
      <sheetName val="BS-MC"/>
      <sheetName val="BS-GTR"/>
      <sheetName val="BS-GTRT"/>
      <sheetName val="BS-ECT"/>
      <sheetName val="MA-ES"/>
      <sheetName val="MA-MC"/>
      <sheetName val="MA-GTR"/>
      <sheetName val="MA-GTRT"/>
      <sheetName val="MA-ECT"/>
    </sheetNames>
    <sheetDataSet>
      <sheetData sheetId="1">
        <row r="9">
          <cell r="W9">
            <v>19309740.59862706</v>
          </cell>
        </row>
        <row r="10">
          <cell r="W10">
            <v>2247423.875184632</v>
          </cell>
        </row>
        <row r="14">
          <cell r="W14">
            <v>1500000</v>
          </cell>
        </row>
        <row r="16">
          <cell r="W16">
            <v>2669692.9437556737</v>
          </cell>
        </row>
        <row r="17">
          <cell r="W17">
            <v>804398.622033749</v>
          </cell>
        </row>
        <row r="18">
          <cell r="W18">
            <v>412718.86</v>
          </cell>
        </row>
        <row r="22">
          <cell r="W22">
            <v>5772598.265838581</v>
          </cell>
        </row>
        <row r="23">
          <cell r="W23">
            <v>8396894.96366537</v>
          </cell>
        </row>
        <row r="24">
          <cell r="W24">
            <v>435987.4015776588</v>
          </cell>
        </row>
        <row r="29">
          <cell r="W29">
            <v>731508.1799999999</v>
          </cell>
        </row>
        <row r="30">
          <cell r="W30">
            <v>3675061.7313087257</v>
          </cell>
        </row>
        <row r="36">
          <cell r="W36">
            <v>1491416.559693655</v>
          </cell>
        </row>
        <row r="37">
          <cell r="W37">
            <v>726694.4424167785</v>
          </cell>
        </row>
        <row r="42">
          <cell r="W42">
            <v>79164</v>
          </cell>
        </row>
        <row r="43">
          <cell r="W43">
            <v>4310947.804567758</v>
          </cell>
        </row>
        <row r="44">
          <cell r="W44">
            <v>1297048.02</v>
          </cell>
        </row>
        <row r="45">
          <cell r="W45">
            <v>2732000</v>
          </cell>
        </row>
        <row r="46">
          <cell r="W46">
            <v>64460.84772797163</v>
          </cell>
        </row>
        <row r="56">
          <cell r="W56">
            <v>5296699.6274999995</v>
          </cell>
        </row>
        <row r="58">
          <cell r="W58">
            <v>3815775.3</v>
          </cell>
        </row>
        <row r="60">
          <cell r="W60">
            <v>249027.2</v>
          </cell>
        </row>
        <row r="61">
          <cell r="W61">
            <v>-453604.77373920387</v>
          </cell>
        </row>
        <row r="62">
          <cell r="W62">
            <v>6256492.58761768</v>
          </cell>
        </row>
        <row r="65">
          <cell r="W65">
            <v>240.58</v>
          </cell>
        </row>
        <row r="69">
          <cell r="W69">
            <v>628570</v>
          </cell>
        </row>
        <row r="70">
          <cell r="W70">
            <v>210967.25999999998</v>
          </cell>
        </row>
        <row r="71">
          <cell r="W71">
            <v>15404829.45</v>
          </cell>
        </row>
        <row r="72">
          <cell r="W72">
            <v>3845296.533924119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15" t="s">
        <v>244</v>
      </c>
      <c r="F3" s="415"/>
      <c r="G3" s="416" t="s">
        <v>242</v>
      </c>
      <c r="H3" s="417"/>
    </row>
    <row r="4" spans="5:8" ht="12.75">
      <c r="E4" s="2" t="s">
        <v>2</v>
      </c>
      <c r="F4" s="2" t="s">
        <v>3</v>
      </c>
      <c r="G4" s="120" t="s">
        <v>2</v>
      </c>
      <c r="H4" s="118" t="s">
        <v>3</v>
      </c>
    </row>
    <row r="5" spans="5:8" ht="13.5" thickBot="1">
      <c r="E5" s="2" t="s">
        <v>4</v>
      </c>
      <c r="F5" s="2" t="s">
        <v>4</v>
      </c>
      <c r="G5" s="121" t="s">
        <v>4</v>
      </c>
      <c r="H5" s="119" t="s">
        <v>4</v>
      </c>
    </row>
    <row r="6" spans="1:8" ht="12.75">
      <c r="A6">
        <v>1</v>
      </c>
      <c r="B6" t="s">
        <v>7</v>
      </c>
      <c r="E6" s="1">
        <v>3223226</v>
      </c>
      <c r="G6" s="116">
        <f>+E6</f>
        <v>3223226</v>
      </c>
      <c r="H6" s="123"/>
    </row>
    <row r="7" spans="2:8" ht="12.75">
      <c r="B7" t="s">
        <v>5</v>
      </c>
      <c r="E7" s="1">
        <f>-4284.46+25025</f>
        <v>20740.54</v>
      </c>
      <c r="G7" s="116">
        <f>+E7</f>
        <v>20740.54</v>
      </c>
      <c r="H7" s="123"/>
    </row>
    <row r="8" spans="3:8" ht="12.75">
      <c r="C8" t="s">
        <v>16</v>
      </c>
      <c r="F8" s="1">
        <f>-4284.46+25025</f>
        <v>20740.54</v>
      </c>
      <c r="G8" s="116"/>
      <c r="H8" s="123">
        <f>+F8</f>
        <v>20740.54</v>
      </c>
    </row>
    <row r="9" spans="3:8" ht="12.75">
      <c r="C9" t="s">
        <v>6</v>
      </c>
      <c r="F9" s="1">
        <v>3223226</v>
      </c>
      <c r="G9" s="116"/>
      <c r="H9" s="123">
        <f>+F9</f>
        <v>3223226</v>
      </c>
    </row>
    <row r="10" spans="2:8" ht="12.75">
      <c r="B10" t="s">
        <v>8</v>
      </c>
      <c r="G10" s="116"/>
      <c r="H10" s="123"/>
    </row>
    <row r="11" spans="2:8" ht="12.75">
      <c r="B11" s="3" t="s">
        <v>21</v>
      </c>
      <c r="C11" s="3"/>
      <c r="D11" s="4"/>
      <c r="G11" s="116"/>
      <c r="H11" s="123"/>
    </row>
    <row r="12" spans="2:8" ht="12.75">
      <c r="B12" s="3" t="s">
        <v>9</v>
      </c>
      <c r="C12" s="3"/>
      <c r="D12" s="4">
        <v>3223226</v>
      </c>
      <c r="G12" s="116"/>
      <c r="H12" s="123"/>
    </row>
    <row r="13" spans="2:8" ht="12.75">
      <c r="B13" s="3" t="s">
        <v>10</v>
      </c>
      <c r="C13" s="3"/>
      <c r="D13" s="4"/>
      <c r="G13" s="116"/>
      <c r="H13" s="123"/>
    </row>
    <row r="14" spans="2:8" ht="12.75">
      <c r="B14" s="3" t="s">
        <v>11</v>
      </c>
      <c r="C14" s="3"/>
      <c r="D14" s="5">
        <v>-3223226</v>
      </c>
      <c r="G14" s="116"/>
      <c r="H14" s="123"/>
    </row>
    <row r="15" spans="2:8" ht="12.75">
      <c r="B15" s="3" t="s">
        <v>12</v>
      </c>
      <c r="C15" s="3"/>
      <c r="D15" s="6">
        <v>25025</v>
      </c>
      <c r="G15" s="116"/>
      <c r="H15" s="123"/>
    </row>
    <row r="16" spans="2:8" ht="12.75">
      <c r="B16" s="3" t="s">
        <v>13</v>
      </c>
      <c r="C16" s="3"/>
      <c r="D16" s="7">
        <v>-4284.46</v>
      </c>
      <c r="G16" s="116"/>
      <c r="H16" s="123"/>
    </row>
    <row r="17" spans="2:8" ht="12.75">
      <c r="B17" s="3"/>
      <c r="C17" s="3"/>
      <c r="D17" s="4">
        <f>SUM(D14:D16)</f>
        <v>-3202485.46</v>
      </c>
      <c r="G17" s="116"/>
      <c r="H17" s="123"/>
    </row>
    <row r="18" spans="2:8" ht="13.5" thickBot="1">
      <c r="B18" s="3" t="s">
        <v>14</v>
      </c>
      <c r="C18" s="3"/>
      <c r="D18" s="8">
        <f>D12+D17</f>
        <v>20740.540000000037</v>
      </c>
      <c r="G18" s="116"/>
      <c r="H18" s="123"/>
    </row>
    <row r="19" spans="7:8" ht="13.5" thickTop="1">
      <c r="G19" s="116"/>
      <c r="H19" s="123"/>
    </row>
    <row r="20" spans="7:8" ht="12.75">
      <c r="G20" s="116"/>
      <c r="H20" s="123"/>
    </row>
    <row r="21" spans="1:8" ht="12.75">
      <c r="A21">
        <v>2</v>
      </c>
      <c r="B21" t="s">
        <v>15</v>
      </c>
      <c r="E21" s="1">
        <v>35000</v>
      </c>
      <c r="G21" s="116">
        <f>+E21</f>
        <v>35000</v>
      </c>
      <c r="H21" s="123"/>
    </row>
    <row r="22" spans="2:8" ht="12.75">
      <c r="B22" t="s">
        <v>5</v>
      </c>
      <c r="E22" s="1">
        <f>F24-E21-E23</f>
        <v>1726650.35</v>
      </c>
      <c r="G22" s="116">
        <f>+E22</f>
        <v>1726650.35</v>
      </c>
      <c r="H22" s="123"/>
    </row>
    <row r="23" spans="2:8" ht="12.75">
      <c r="B23" t="s">
        <v>17</v>
      </c>
      <c r="E23" s="1">
        <f>752076-13726.35</f>
        <v>738349.65</v>
      </c>
      <c r="G23" s="116">
        <f>+E23</f>
        <v>738349.65</v>
      </c>
      <c r="H23" s="123"/>
    </row>
    <row r="24" spans="3:8" ht="12.75">
      <c r="C24" t="s">
        <v>18</v>
      </c>
      <c r="F24" s="1">
        <v>2500000</v>
      </c>
      <c r="G24" s="116"/>
      <c r="H24" s="123">
        <f>+F24</f>
        <v>2500000</v>
      </c>
    </row>
    <row r="25" spans="2:8" ht="12.75">
      <c r="B25" t="s">
        <v>19</v>
      </c>
      <c r="G25" s="116"/>
      <c r="H25" s="123"/>
    </row>
    <row r="26" spans="2:8" ht="12.75">
      <c r="B26" s="3" t="s">
        <v>21</v>
      </c>
      <c r="C26" s="3"/>
      <c r="D26" s="4"/>
      <c r="G26" s="116"/>
      <c r="H26" s="123"/>
    </row>
    <row r="27" spans="2:8" ht="12.75">
      <c r="B27" s="3" t="s">
        <v>9</v>
      </c>
      <c r="C27" s="1"/>
      <c r="D27" s="4">
        <v>2500000</v>
      </c>
      <c r="G27" s="116"/>
      <c r="H27" s="123"/>
    </row>
    <row r="28" spans="2:8" ht="12.75">
      <c r="B28" s="3" t="s">
        <v>10</v>
      </c>
      <c r="C28" s="3"/>
      <c r="D28" s="4"/>
      <c r="G28" s="116"/>
      <c r="H28" s="123"/>
    </row>
    <row r="29" spans="2:8" ht="12.75">
      <c r="B29" s="3" t="s">
        <v>11</v>
      </c>
      <c r="C29" s="3"/>
      <c r="D29" s="5">
        <v>-35000</v>
      </c>
      <c r="G29" s="116"/>
      <c r="H29" s="123"/>
    </row>
    <row r="30" spans="2:8" ht="12.75">
      <c r="B30" s="3" t="s">
        <v>69</v>
      </c>
      <c r="C30" s="3"/>
      <c r="D30" s="6">
        <v>-752076</v>
      </c>
      <c r="G30" s="116"/>
      <c r="H30" s="123"/>
    </row>
    <row r="31" spans="2:8" ht="12.75">
      <c r="B31" s="3" t="s">
        <v>20</v>
      </c>
      <c r="C31" s="3"/>
      <c r="D31" s="7">
        <v>13726.35</v>
      </c>
      <c r="G31" s="116"/>
      <c r="H31" s="123"/>
    </row>
    <row r="32" spans="2:8" ht="12.75">
      <c r="B32" s="3"/>
      <c r="C32" s="3"/>
      <c r="D32" s="4">
        <f>SUM(D29:D31)</f>
        <v>-773349.65</v>
      </c>
      <c r="G32" s="116"/>
      <c r="H32" s="123"/>
    </row>
    <row r="33" spans="2:8" ht="13.5" thickBot="1">
      <c r="B33" s="3" t="s">
        <v>14</v>
      </c>
      <c r="C33" s="3"/>
      <c r="D33" s="8">
        <f>D27+D32</f>
        <v>1726650.35</v>
      </c>
      <c r="G33" s="116"/>
      <c r="H33" s="123"/>
    </row>
    <row r="34" spans="7:8" ht="13.5" thickTop="1">
      <c r="G34" s="116"/>
      <c r="H34" s="123"/>
    </row>
    <row r="35" spans="7:8" ht="12.75">
      <c r="G35" s="116"/>
      <c r="H35" s="123"/>
    </row>
    <row r="36" spans="1:8" ht="12.75">
      <c r="A36">
        <v>3</v>
      </c>
      <c r="B36" s="34" t="s">
        <v>78</v>
      </c>
      <c r="E36" s="1">
        <f>(E22+E7)/15/2+(58246.36/2)</f>
        <v>87369.543</v>
      </c>
      <c r="G36" s="116">
        <v>29123.18</v>
      </c>
      <c r="H36" s="123"/>
    </row>
    <row r="37" spans="3:8" ht="12.75">
      <c r="C37" t="s">
        <v>79</v>
      </c>
      <c r="F37" s="1">
        <f>E36</f>
        <v>87369.543</v>
      </c>
      <c r="G37" s="116"/>
      <c r="H37" s="123">
        <f>+G36</f>
        <v>29123.18</v>
      </c>
    </row>
    <row r="38" spans="2:8" ht="12.75">
      <c r="B38" t="s">
        <v>80</v>
      </c>
      <c r="G38" s="116"/>
      <c r="H38" s="123"/>
    </row>
    <row r="39" spans="7:8" ht="12.75">
      <c r="G39" s="116"/>
      <c r="H39" s="123"/>
    </row>
    <row r="40" spans="7:8" ht="12.75">
      <c r="G40" s="116"/>
      <c r="H40" s="123"/>
    </row>
    <row r="41" spans="1:8" ht="12.75">
      <c r="A41">
        <v>4</v>
      </c>
      <c r="B41" t="s">
        <v>0</v>
      </c>
      <c r="E41" s="1">
        <v>53746.29</v>
      </c>
      <c r="G41" s="116">
        <f>53746.29</f>
        <v>53746.29</v>
      </c>
      <c r="H41" s="123"/>
    </row>
    <row r="42" spans="3:8" ht="12.75">
      <c r="C42" t="s">
        <v>46</v>
      </c>
      <c r="F42" s="1">
        <f>E41</f>
        <v>53746.29</v>
      </c>
      <c r="G42" s="116"/>
      <c r="H42" s="123">
        <f>+G41</f>
        <v>53746.29</v>
      </c>
    </row>
    <row r="43" spans="2:8" ht="12.75">
      <c r="B43" t="s">
        <v>72</v>
      </c>
      <c r="G43" s="116"/>
      <c r="H43" s="123"/>
    </row>
    <row r="44" spans="7:8" ht="12.75">
      <c r="G44" s="116"/>
      <c r="H44" s="123"/>
    </row>
    <row r="45" spans="7:8" ht="12.75">
      <c r="G45" s="116"/>
      <c r="H45" s="123"/>
    </row>
    <row r="46" spans="1:8" ht="12.75">
      <c r="A46">
        <v>5</v>
      </c>
      <c r="B46" t="s">
        <v>0</v>
      </c>
      <c r="E46" s="1">
        <f>1591000+900000</f>
        <v>2491000</v>
      </c>
      <c r="G46" s="116">
        <v>2490680</v>
      </c>
      <c r="H46" s="123"/>
    </row>
    <row r="47" spans="3:8" ht="12.75">
      <c r="C47" t="s">
        <v>46</v>
      </c>
      <c r="F47" s="1">
        <f>E46</f>
        <v>2491000</v>
      </c>
      <c r="G47" s="116"/>
      <c r="H47" s="123">
        <f>+G46</f>
        <v>2490680</v>
      </c>
    </row>
    <row r="48" spans="2:8" ht="12.75">
      <c r="B48" t="s">
        <v>73</v>
      </c>
      <c r="G48" s="116"/>
      <c r="H48" s="123"/>
    </row>
    <row r="49" spans="7:8" ht="12.75">
      <c r="G49" s="116"/>
      <c r="H49" s="123"/>
    </row>
    <row r="50" spans="7:8" ht="12.75">
      <c r="G50" s="116"/>
      <c r="H50" s="123"/>
    </row>
    <row r="51" spans="1:8" ht="12.75">
      <c r="A51">
        <v>6</v>
      </c>
      <c r="B51" t="s">
        <v>40</v>
      </c>
      <c r="E51" s="1">
        <f>400749.12</f>
        <v>400749.12</v>
      </c>
      <c r="G51" s="116">
        <v>1082634.71</v>
      </c>
      <c r="H51" s="123"/>
    </row>
    <row r="52" spans="3:8" ht="12.75">
      <c r="C52" t="s">
        <v>46</v>
      </c>
      <c r="F52" s="1">
        <f>E51</f>
        <v>400749.12</v>
      </c>
      <c r="G52" s="116"/>
      <c r="H52" s="123">
        <f>+G51</f>
        <v>1082634.71</v>
      </c>
    </row>
    <row r="53" spans="2:8" ht="12.75">
      <c r="B53" t="s">
        <v>74</v>
      </c>
      <c r="G53" s="116"/>
      <c r="H53" s="123"/>
    </row>
    <row r="54" spans="7:8" ht="12.75">
      <c r="G54" s="116"/>
      <c r="H54" s="123"/>
    </row>
    <row r="55" spans="7:8" ht="12.75">
      <c r="G55" s="116"/>
      <c r="H55" s="123"/>
    </row>
    <row r="56" spans="1:8" ht="12.75">
      <c r="A56">
        <v>7</v>
      </c>
      <c r="B56" t="s">
        <v>40</v>
      </c>
      <c r="E56" s="1">
        <f>530522.22+156000+80000</f>
        <v>766522.22</v>
      </c>
      <c r="G56" s="116">
        <f>766522.22</f>
        <v>766522.22</v>
      </c>
      <c r="H56" s="123"/>
    </row>
    <row r="57" spans="3:8" ht="12.75">
      <c r="C57" t="s">
        <v>75</v>
      </c>
      <c r="F57" s="1">
        <f>E56</f>
        <v>766522.22</v>
      </c>
      <c r="G57" s="116"/>
      <c r="H57" s="123">
        <f>+G56</f>
        <v>766522.22</v>
      </c>
    </row>
    <row r="58" spans="2:8" ht="12.75">
      <c r="B58" t="s">
        <v>76</v>
      </c>
      <c r="G58" s="116"/>
      <c r="H58" s="123"/>
    </row>
    <row r="59" spans="7:8" ht="12.75">
      <c r="G59" s="116"/>
      <c r="H59" s="123"/>
    </row>
    <row r="60" spans="7:8" ht="12.75">
      <c r="G60" s="116"/>
      <c r="H60" s="123"/>
    </row>
    <row r="61" spans="1:8" ht="12.75">
      <c r="A61">
        <v>8</v>
      </c>
      <c r="B61" t="s">
        <v>40</v>
      </c>
      <c r="G61" s="116">
        <v>38820</v>
      </c>
      <c r="H61" s="123"/>
    </row>
    <row r="62" spans="3:8" ht="12.75">
      <c r="C62" t="s">
        <v>0</v>
      </c>
      <c r="G62" s="116"/>
      <c r="H62" s="123">
        <f>+G61</f>
        <v>38820</v>
      </c>
    </row>
    <row r="63" spans="2:8" ht="12.75">
      <c r="B63" t="s">
        <v>467</v>
      </c>
      <c r="G63" s="116"/>
      <c r="H63" s="123"/>
    </row>
    <row r="64" spans="7:8" ht="12.75">
      <c r="G64" s="116"/>
      <c r="H64" s="123"/>
    </row>
    <row r="65" spans="7:8" ht="12.75">
      <c r="G65" s="116"/>
      <c r="H65" s="123"/>
    </row>
    <row r="66" spans="1:8" ht="12.75">
      <c r="A66">
        <v>9</v>
      </c>
      <c r="B66" t="s">
        <v>40</v>
      </c>
      <c r="G66" s="116">
        <v>678424.18</v>
      </c>
      <c r="H66" s="123"/>
    </row>
    <row r="67" spans="3:8" ht="12.75">
      <c r="C67" t="s">
        <v>505</v>
      </c>
      <c r="G67" s="116"/>
      <c r="H67" s="123">
        <f>+G66</f>
        <v>678424.18</v>
      </c>
    </row>
    <row r="68" spans="2:8" ht="12.75">
      <c r="B68" t="s">
        <v>506</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76"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111</v>
      </c>
      <c r="G1" s="43"/>
    </row>
    <row r="2" ht="12.75">
      <c r="G2" t="s">
        <v>232</v>
      </c>
    </row>
    <row r="3" ht="9" customHeight="1"/>
    <row r="4" spans="1:11" ht="15">
      <c r="A4" s="38" t="s">
        <v>112</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113</v>
      </c>
      <c r="B6" s="38" t="s">
        <v>231</v>
      </c>
      <c r="C6" s="44"/>
      <c r="D6" s="44"/>
      <c r="E6" s="44"/>
      <c r="F6" s="44"/>
      <c r="G6" s="44"/>
      <c r="H6" s="44"/>
      <c r="I6" s="44"/>
      <c r="J6" s="44"/>
      <c r="K6" s="44"/>
    </row>
    <row r="7" spans="1:11" ht="16.5" customHeight="1">
      <c r="A7" s="44"/>
      <c r="B7" s="38" t="s">
        <v>234</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114</v>
      </c>
      <c r="B9" s="38" t="s">
        <v>115</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117</v>
      </c>
      <c r="B20" s="38" t="s">
        <v>118</v>
      </c>
      <c r="C20" s="44"/>
      <c r="D20" s="44"/>
    </row>
    <row r="21" ht="16.5" customHeight="1"/>
    <row r="22" ht="16.5" customHeight="1"/>
    <row r="23" ht="16.5" customHeight="1"/>
    <row r="24" spans="1:6" ht="16.5" customHeight="1">
      <c r="A24" s="38" t="s">
        <v>119</v>
      </c>
      <c r="B24" s="38" t="s">
        <v>120</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121</v>
      </c>
      <c r="B28" s="38" t="s">
        <v>122</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123</v>
      </c>
      <c r="B32" s="38" t="s">
        <v>124</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125</v>
      </c>
      <c r="B37" s="38" t="s">
        <v>126</v>
      </c>
      <c r="C37" s="44"/>
      <c r="D37" s="44"/>
      <c r="E37" s="44"/>
      <c r="F37" s="44"/>
      <c r="G37" s="44"/>
    </row>
    <row r="38" spans="1:11" ht="16.5" customHeight="1">
      <c r="A38" s="44"/>
      <c r="B38" s="44"/>
      <c r="C38" s="44"/>
      <c r="D38" s="44"/>
      <c r="E38" s="44"/>
      <c r="F38" s="44"/>
      <c r="G38" s="44"/>
      <c r="I38" t="s">
        <v>127</v>
      </c>
      <c r="K38" s="45" t="s">
        <v>4</v>
      </c>
    </row>
    <row r="39" spans="1:11" ht="16.5" customHeight="1">
      <c r="A39" s="44"/>
      <c r="B39" s="44" t="s">
        <v>474</v>
      </c>
      <c r="C39" s="44"/>
      <c r="D39" s="44"/>
      <c r="E39" s="44"/>
      <c r="F39" s="44"/>
      <c r="G39" s="44"/>
      <c r="I39" s="47">
        <v>97232260</v>
      </c>
      <c r="J39" s="48"/>
      <c r="K39" s="111">
        <v>9723226</v>
      </c>
    </row>
    <row r="40" spans="1:11" ht="16.5" customHeight="1">
      <c r="A40" s="44"/>
      <c r="B40" s="44" t="s">
        <v>48</v>
      </c>
      <c r="C40" s="44"/>
      <c r="D40" s="44"/>
      <c r="E40" s="44"/>
      <c r="F40" s="44"/>
      <c r="G40" s="44"/>
      <c r="I40" s="47"/>
      <c r="K40" s="47"/>
    </row>
    <row r="41" spans="1:11" ht="16.5" customHeight="1" thickBot="1">
      <c r="A41" s="44"/>
      <c r="B41" s="44" t="s">
        <v>494</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128</v>
      </c>
      <c r="B47" s="38" t="s">
        <v>129</v>
      </c>
      <c r="C47" s="38"/>
      <c r="D47" s="38"/>
      <c r="E47" s="44"/>
      <c r="F47" s="44"/>
      <c r="G47" s="44"/>
      <c r="I47" t="s">
        <v>48</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130</v>
      </c>
      <c r="B51" s="38" t="s">
        <v>131</v>
      </c>
      <c r="C51" s="38"/>
      <c r="D51" s="38"/>
      <c r="E51" s="38"/>
      <c r="F51" s="44"/>
      <c r="G51" s="44"/>
    </row>
    <row r="52" spans="1:7" ht="9" customHeight="1">
      <c r="A52" s="44"/>
      <c r="B52" s="44"/>
      <c r="C52" s="44"/>
      <c r="D52" s="44"/>
      <c r="E52" s="44"/>
      <c r="F52" s="44"/>
      <c r="G52" s="44"/>
    </row>
    <row r="53" ht="16.5" customHeight="1">
      <c r="B53" s="94" t="s">
        <v>229</v>
      </c>
    </row>
    <row r="54" ht="16.5" customHeight="1"/>
    <row r="55" ht="16.5" customHeight="1"/>
    <row r="56" spans="1:8" ht="16.5" customHeight="1">
      <c r="A56" s="38" t="s">
        <v>138</v>
      </c>
      <c r="B56" s="38" t="s">
        <v>139</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140</v>
      </c>
      <c r="B60" s="38" t="s">
        <v>141</v>
      </c>
      <c r="C60" s="38"/>
      <c r="D60" s="38"/>
    </row>
    <row r="61" ht="16.5" customHeight="1"/>
    <row r="62" ht="16.5" customHeight="1"/>
    <row r="63" ht="16.5" customHeight="1"/>
    <row r="64" spans="1:6" ht="16.5" customHeight="1">
      <c r="A64" s="38" t="s">
        <v>142</v>
      </c>
      <c r="B64" s="38" t="s">
        <v>143</v>
      </c>
      <c r="C64" s="44"/>
      <c r="D64" s="44"/>
      <c r="E64" s="44"/>
      <c r="F64" s="44"/>
    </row>
    <row r="65" spans="1:6" ht="16.5" customHeight="1">
      <c r="A65" s="44"/>
      <c r="B65" s="44"/>
      <c r="C65" s="44"/>
      <c r="D65" s="44"/>
      <c r="E65" s="44"/>
      <c r="F65" s="44"/>
    </row>
    <row r="66" ht="16.5" customHeight="1"/>
    <row r="67" ht="16.5" customHeight="1"/>
    <row r="68" spans="1:4" ht="19.5" customHeight="1">
      <c r="A68" s="38" t="s">
        <v>144</v>
      </c>
      <c r="B68" s="38" t="s">
        <v>145</v>
      </c>
      <c r="C68" s="38"/>
      <c r="D68" s="38"/>
    </row>
    <row r="69" ht="16.5" customHeight="1"/>
    <row r="70" ht="16.5" customHeight="1"/>
    <row r="71" ht="16.5" customHeight="1"/>
    <row r="72" spans="1:7" ht="16.5" customHeight="1">
      <c r="A72" s="38" t="s">
        <v>146</v>
      </c>
      <c r="B72" s="38" t="s">
        <v>147</v>
      </c>
      <c r="C72" s="44"/>
      <c r="D72" s="44"/>
      <c r="E72" s="44"/>
      <c r="F72" s="44"/>
      <c r="G72" s="44"/>
    </row>
    <row r="73" ht="16.5" customHeight="1"/>
    <row r="74" ht="16.5" customHeight="1"/>
    <row r="75" ht="16.5" customHeight="1"/>
    <row r="76" spans="1:2" ht="16.5" customHeight="1">
      <c r="A76" s="70" t="s">
        <v>176</v>
      </c>
      <c r="B76" s="38" t="s">
        <v>222</v>
      </c>
    </row>
    <row r="77" ht="16.5" customHeight="1">
      <c r="B77" s="38" t="s">
        <v>235</v>
      </c>
    </row>
    <row r="78" ht="16.5" customHeight="1">
      <c r="B78" s="38"/>
    </row>
    <row r="79" spans="1:2" s="44" customFormat="1" ht="16.5" customHeight="1">
      <c r="A79" s="38" t="s">
        <v>177</v>
      </c>
      <c r="B79" s="38" t="s">
        <v>236</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178</v>
      </c>
      <c r="B87" s="38" t="s">
        <v>179</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180</v>
      </c>
      <c r="B100" s="38" t="s">
        <v>193</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184</v>
      </c>
      <c r="B110" s="38" t="s">
        <v>194</v>
      </c>
    </row>
    <row r="111" s="44" customFormat="1" ht="14.25"/>
    <row r="112" s="44" customFormat="1" ht="14.25"/>
    <row r="113" s="44" customFormat="1" ht="14.25"/>
    <row r="114" spans="1:2" s="44" customFormat="1" ht="15">
      <c r="A114" s="38" t="s">
        <v>185</v>
      </c>
      <c r="B114" s="38" t="s">
        <v>103</v>
      </c>
    </row>
    <row r="115" s="44" customFormat="1" ht="14.25"/>
    <row r="116" spans="5:11" s="44" customFormat="1" ht="21.75" customHeight="1">
      <c r="E116" s="427" t="s">
        <v>132</v>
      </c>
      <c r="F116" s="428"/>
      <c r="G116" s="428"/>
      <c r="H116" s="429"/>
      <c r="I116" s="430" t="s">
        <v>133</v>
      </c>
      <c r="J116" s="431"/>
      <c r="K116" s="432"/>
    </row>
    <row r="117" spans="5:11" s="44" customFormat="1" ht="14.25" customHeight="1">
      <c r="E117" s="433" t="s">
        <v>134</v>
      </c>
      <c r="F117" s="434"/>
      <c r="G117" s="433" t="s">
        <v>135</v>
      </c>
      <c r="H117" s="434"/>
      <c r="I117" s="433" t="s">
        <v>136</v>
      </c>
      <c r="J117" s="434"/>
      <c r="K117" s="49" t="s">
        <v>137</v>
      </c>
    </row>
    <row r="118" spans="5:11" s="44" customFormat="1" ht="14.25" customHeight="1">
      <c r="E118" s="433" t="s">
        <v>486</v>
      </c>
      <c r="F118" s="434"/>
      <c r="G118" s="433" t="s">
        <v>487</v>
      </c>
      <c r="H118" s="434"/>
      <c r="I118" s="433" t="s">
        <v>486</v>
      </c>
      <c r="J118" s="434"/>
      <c r="K118" s="49" t="s">
        <v>487</v>
      </c>
    </row>
    <row r="119" spans="5:11" s="44" customFormat="1" ht="14.25">
      <c r="E119" s="427" t="s">
        <v>4</v>
      </c>
      <c r="F119" s="429"/>
      <c r="G119" s="427" t="s">
        <v>4</v>
      </c>
      <c r="H119" s="429"/>
      <c r="I119" s="427" t="s">
        <v>4</v>
      </c>
      <c r="J119" s="429"/>
      <c r="K119" s="50" t="s">
        <v>4</v>
      </c>
    </row>
    <row r="120" spans="5:11" s="44" customFormat="1" ht="14.25">
      <c r="E120" s="437"/>
      <c r="F120" s="438"/>
      <c r="G120" s="437"/>
      <c r="H120" s="438"/>
      <c r="I120" s="439"/>
      <c r="J120" s="440"/>
      <c r="K120" s="51"/>
    </row>
    <row r="121" spans="2:11" s="44" customFormat="1" ht="14.25">
      <c r="B121" s="44" t="s">
        <v>181</v>
      </c>
      <c r="E121" s="445">
        <f>-PL!H37</f>
        <v>93816.6292</v>
      </c>
      <c r="F121" s="446"/>
      <c r="G121" s="443">
        <v>329000</v>
      </c>
      <c r="H121" s="444"/>
      <c r="I121" s="441">
        <f>-PL!J37</f>
        <v>93816.6292</v>
      </c>
      <c r="J121" s="442"/>
      <c r="K121" s="71">
        <v>329000</v>
      </c>
    </row>
    <row r="122" spans="2:11" s="44" customFormat="1" ht="14.25">
      <c r="B122" s="44" t="s">
        <v>182</v>
      </c>
      <c r="E122" s="443"/>
      <c r="F122" s="444"/>
      <c r="G122" s="443" t="s">
        <v>48</v>
      </c>
      <c r="H122" s="444"/>
      <c r="I122" s="443" t="s">
        <v>48</v>
      </c>
      <c r="J122" s="444"/>
      <c r="K122" s="72" t="s">
        <v>48</v>
      </c>
    </row>
    <row r="123" spans="2:11" s="44" customFormat="1" ht="14.25">
      <c r="B123" s="44" t="s">
        <v>183</v>
      </c>
      <c r="E123" s="435">
        <v>0</v>
      </c>
      <c r="F123" s="436"/>
      <c r="G123" s="435">
        <v>0</v>
      </c>
      <c r="H123" s="436"/>
      <c r="I123" s="435">
        <f>+E123</f>
        <v>0</v>
      </c>
      <c r="J123" s="436"/>
      <c r="K123" s="73">
        <v>0</v>
      </c>
    </row>
    <row r="124" spans="5:11" s="44" customFormat="1" ht="14.25">
      <c r="E124" s="449">
        <f>SUM(E121:F123)</f>
        <v>93816.6292</v>
      </c>
      <c r="F124" s="450"/>
      <c r="G124" s="449">
        <f>SUM(G121:H123)</f>
        <v>329000</v>
      </c>
      <c r="H124" s="450"/>
      <c r="I124" s="449">
        <f>SUM(I121:J123)</f>
        <v>93816.6292</v>
      </c>
      <c r="J124" s="450"/>
      <c r="K124" s="74">
        <f>SUM(K121:K123)</f>
        <v>329000</v>
      </c>
    </row>
    <row r="125" spans="2:11" s="44" customFormat="1" ht="14.25">
      <c r="B125" s="44" t="s">
        <v>45</v>
      </c>
      <c r="E125" s="451">
        <v>0</v>
      </c>
      <c r="F125" s="452"/>
      <c r="G125" s="451">
        <v>0</v>
      </c>
      <c r="H125" s="452"/>
      <c r="I125" s="451">
        <v>0</v>
      </c>
      <c r="J125" s="452"/>
      <c r="K125" s="75">
        <v>0</v>
      </c>
    </row>
    <row r="126" spans="5:11" s="44" customFormat="1" ht="15" thickBot="1">
      <c r="E126" s="447">
        <f>SUM(E124:F125)</f>
        <v>93816.6292</v>
      </c>
      <c r="F126" s="448"/>
      <c r="G126" s="447">
        <f>SUM(G124:H125)</f>
        <v>329000</v>
      </c>
      <c r="H126" s="448"/>
      <c r="I126" s="447">
        <f>SUM(I124:J125)</f>
        <v>93816.6292</v>
      </c>
      <c r="J126" s="448"/>
      <c r="K126" s="76">
        <f>SUM(K124:K125)</f>
        <v>329000</v>
      </c>
    </row>
    <row r="127" s="44" customFormat="1" ht="15" thickTop="1"/>
    <row r="128" s="44" customFormat="1" ht="14.25"/>
    <row r="129" s="44" customFormat="1" ht="14.25"/>
    <row r="130" s="44" customFormat="1" ht="14.25"/>
    <row r="131" s="44" customFormat="1" ht="14.25"/>
    <row r="132" spans="1:2" s="44" customFormat="1" ht="15">
      <c r="A132" s="38" t="s">
        <v>186</v>
      </c>
      <c r="B132" s="38" t="s">
        <v>195</v>
      </c>
    </row>
    <row r="133" s="44" customFormat="1" ht="14.25"/>
    <row r="134" s="44" customFormat="1" ht="14.25"/>
    <row r="135" s="44" customFormat="1" ht="14.25"/>
    <row r="136" spans="1:2" s="44" customFormat="1" ht="15">
      <c r="A136" s="38" t="s">
        <v>187</v>
      </c>
      <c r="B136" s="38" t="s">
        <v>188</v>
      </c>
    </row>
    <row r="137" s="44" customFormat="1" ht="14.25"/>
    <row r="138" s="44" customFormat="1" ht="14.25"/>
    <row r="139" s="44" customFormat="1" ht="14.25"/>
    <row r="140" s="44" customFormat="1" ht="14.25"/>
    <row r="141" spans="1:2" s="44" customFormat="1" ht="15">
      <c r="A141" s="38" t="s">
        <v>189</v>
      </c>
      <c r="B141" s="38" t="s">
        <v>196</v>
      </c>
    </row>
    <row r="142" s="44" customFormat="1" ht="14.25"/>
    <row r="143" s="44" customFormat="1" ht="14.25"/>
    <row r="144" s="44" customFormat="1" ht="14.25"/>
    <row r="145" s="44" customFormat="1" ht="15">
      <c r="B145" s="38" t="s">
        <v>48</v>
      </c>
    </row>
    <row r="146" spans="7:11" s="44" customFormat="1" ht="12.75" customHeight="1">
      <c r="G146" s="426"/>
      <c r="H146" s="426"/>
      <c r="I146" s="425" t="s">
        <v>48</v>
      </c>
      <c r="J146" s="425"/>
      <c r="K146" s="44" t="s">
        <v>48</v>
      </c>
    </row>
    <row r="147" s="44" customFormat="1" ht="14.25"/>
    <row r="148" s="44" customFormat="1" ht="14.25"/>
    <row r="149" s="44" customFormat="1" ht="14.25"/>
    <row r="150" s="44" customFormat="1" ht="14.25"/>
    <row r="151" spans="1:2" s="44" customFormat="1" ht="15">
      <c r="A151" s="38" t="s">
        <v>190</v>
      </c>
      <c r="B151" s="38" t="s">
        <v>191</v>
      </c>
    </row>
    <row r="152" s="44" customFormat="1" ht="14.25"/>
    <row r="153" s="44" customFormat="1" ht="14.25"/>
    <row r="154" s="44" customFormat="1" ht="14.25"/>
    <row r="155" s="44" customFormat="1" ht="14.25"/>
    <row r="156" spans="1:2" s="44" customFormat="1" ht="15">
      <c r="A156" s="38" t="s">
        <v>192</v>
      </c>
      <c r="B156" s="38" t="s">
        <v>197</v>
      </c>
    </row>
    <row r="157" s="44" customFormat="1" ht="14.25"/>
    <row r="158" s="44" customFormat="1" ht="14.25"/>
    <row r="159" s="44" customFormat="1" ht="14.25"/>
    <row r="160" spans="1:2" s="44" customFormat="1" ht="15">
      <c r="A160" s="38" t="s">
        <v>198</v>
      </c>
      <c r="B160" s="38" t="s">
        <v>199</v>
      </c>
    </row>
    <row r="161" s="44" customFormat="1" ht="14.25"/>
    <row r="162" s="44" customFormat="1" ht="14.25"/>
    <row r="163" s="44" customFormat="1" ht="14.25"/>
    <row r="164" s="44" customFormat="1" ht="14.25"/>
    <row r="165" s="44" customFormat="1" ht="14.25"/>
    <row r="166" spans="1:2" s="44" customFormat="1" ht="15">
      <c r="A166" s="38" t="s">
        <v>200</v>
      </c>
      <c r="B166" s="38" t="s">
        <v>129</v>
      </c>
    </row>
    <row r="167" s="44" customFormat="1" ht="14.25"/>
    <row r="168" s="44" customFormat="1" ht="14.25"/>
    <row r="169" s="44" customFormat="1" ht="14.25"/>
    <row r="170" s="44" customFormat="1" ht="14.25"/>
    <row r="171" s="44" customFormat="1" ht="14.25"/>
    <row r="172" spans="1:2" s="44" customFormat="1" ht="15">
      <c r="A172" s="38" t="s">
        <v>201</v>
      </c>
      <c r="B172" s="38" t="s">
        <v>202</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203</v>
      </c>
      <c r="B180" s="38" t="s">
        <v>204</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I123:J123"/>
    <mergeCell ref="E126:F126"/>
    <mergeCell ref="G126:H126"/>
    <mergeCell ref="I126:J126"/>
    <mergeCell ref="E124:F124"/>
    <mergeCell ref="G124:H124"/>
    <mergeCell ref="I124:J124"/>
    <mergeCell ref="E125:F125"/>
    <mergeCell ref="G125:H125"/>
    <mergeCell ref="I125:J125"/>
    <mergeCell ref="G122:H122"/>
    <mergeCell ref="I122:J122"/>
    <mergeCell ref="E121:F121"/>
    <mergeCell ref="G121:H121"/>
    <mergeCell ref="E123:F123"/>
    <mergeCell ref="G123:H123"/>
    <mergeCell ref="I119:J119"/>
    <mergeCell ref="E120:F120"/>
    <mergeCell ref="G120:H120"/>
    <mergeCell ref="I120:J120"/>
    <mergeCell ref="E119:F119"/>
    <mergeCell ref="G119:H119"/>
    <mergeCell ref="I121:J121"/>
    <mergeCell ref="E122:F122"/>
    <mergeCell ref="I146:J146"/>
    <mergeCell ref="G146:H146"/>
    <mergeCell ref="E116:H116"/>
    <mergeCell ref="I116:K116"/>
    <mergeCell ref="E117:F117"/>
    <mergeCell ref="G117:H117"/>
    <mergeCell ref="I117:J117"/>
    <mergeCell ref="E118:F118"/>
    <mergeCell ref="G118:H118"/>
    <mergeCell ref="I118:J118"/>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71</v>
      </c>
    </row>
    <row r="2" ht="12.75">
      <c r="A2" s="16" t="s">
        <v>62</v>
      </c>
    </row>
    <row r="3" ht="12.75">
      <c r="A3" s="32" t="s">
        <v>22</v>
      </c>
    </row>
    <row r="4" ht="12.75">
      <c r="A4" s="32" t="s">
        <v>464</v>
      </c>
    </row>
    <row r="5" ht="12.75">
      <c r="A5" s="33" t="s">
        <v>23</v>
      </c>
    </row>
    <row r="7" ht="12.75">
      <c r="A7" s="9" t="s">
        <v>175</v>
      </c>
    </row>
    <row r="8" spans="1:6" ht="12.75">
      <c r="A8" s="9" t="s">
        <v>473</v>
      </c>
      <c r="F8" s="16"/>
    </row>
    <row r="9" spans="1:5" ht="12.75">
      <c r="A9" s="9"/>
      <c r="D9" s="39" t="s">
        <v>173</v>
      </c>
      <c r="E9" s="39" t="s">
        <v>173</v>
      </c>
    </row>
    <row r="10" spans="1:5" ht="12.75">
      <c r="A10" s="9"/>
      <c r="D10" s="39" t="s">
        <v>174</v>
      </c>
      <c r="E10" s="39" t="s">
        <v>174</v>
      </c>
    </row>
    <row r="11" spans="1:5" ht="12.75">
      <c r="A11" s="40"/>
      <c r="D11" s="39" t="s">
        <v>243</v>
      </c>
      <c r="E11" s="78" t="s">
        <v>237</v>
      </c>
    </row>
    <row r="12" spans="1:5" ht="12.75">
      <c r="A12" s="9" t="s">
        <v>48</v>
      </c>
      <c r="D12" s="78" t="s">
        <v>4</v>
      </c>
      <c r="E12" s="39" t="s">
        <v>4</v>
      </c>
    </row>
    <row r="13" spans="4:5" ht="12.75">
      <c r="D13" s="19"/>
      <c r="E13" s="19"/>
    </row>
    <row r="14" spans="1:8" ht="12.75">
      <c r="A14" s="9" t="s">
        <v>104</v>
      </c>
      <c r="D14" s="26" t="e">
        <f>-'WK Cashflow worksheet(H)'!K13-'WK Cashflow worksheet(H)'!K22</f>
        <v>#REF!</v>
      </c>
      <c r="E14" s="19">
        <v>6260950.93380771</v>
      </c>
      <c r="H14" s="64"/>
    </row>
    <row r="15" spans="4:8" ht="12.75">
      <c r="D15" s="19"/>
      <c r="E15" s="19"/>
      <c r="H15" s="64"/>
    </row>
    <row r="16" spans="1:8" ht="12.75">
      <c r="A16" s="9" t="s">
        <v>218</v>
      </c>
      <c r="D16" s="19">
        <f>-'WK Cashflow worksheet(H)'!K4-'WK Cashflow worksheet(H)'!K7-'WK Cashflow worksheet(H)'!K8-'WK Cashflow worksheet(H)'!K78</f>
        <v>3329891.7799999993</v>
      </c>
      <c r="E16" s="19">
        <v>3616373.34</v>
      </c>
      <c r="H16" s="64"/>
    </row>
    <row r="17" spans="4:8" ht="12.75">
      <c r="D17" s="19"/>
      <c r="E17" s="19"/>
      <c r="H17" s="64"/>
    </row>
    <row r="18" spans="1:8" ht="12.75">
      <c r="A18" s="9" t="s">
        <v>105</v>
      </c>
      <c r="D18" s="19">
        <f>-'WK Cashflow worksheet(H)'!K36</f>
        <v>8564425.620000001</v>
      </c>
      <c r="E18" s="19">
        <v>8559250.64</v>
      </c>
      <c r="H18" s="64"/>
    </row>
    <row r="19" spans="4:8" ht="12.75">
      <c r="D19" s="18"/>
      <c r="E19" s="18"/>
      <c r="H19" s="64"/>
    </row>
    <row r="20" spans="1:8" ht="12.75">
      <c r="A20" s="9" t="s">
        <v>108</v>
      </c>
      <c r="D20" s="19" t="e">
        <f>D14+D16+D18</f>
        <v>#REF!</v>
      </c>
      <c r="E20" s="19">
        <v>18436574.913807712</v>
      </c>
      <c r="H20" s="64"/>
    </row>
    <row r="21" spans="4:8" ht="12.75">
      <c r="D21" s="19"/>
      <c r="E21" s="19"/>
      <c r="H21" s="64"/>
    </row>
    <row r="22" spans="1:8" ht="12.75">
      <c r="A22" s="9" t="s">
        <v>471</v>
      </c>
      <c r="D22" s="19">
        <f>-'[2]WK Cashflow worksheet'!K15</f>
        <v>46470</v>
      </c>
      <c r="E22" s="19">
        <v>46470</v>
      </c>
      <c r="H22" s="64"/>
    </row>
    <row r="23" spans="1:8" ht="12.75">
      <c r="A23" s="9"/>
      <c r="D23" s="19"/>
      <c r="E23" s="19"/>
      <c r="H23" s="64"/>
    </row>
    <row r="24" spans="1:8" ht="13.5" thickBot="1">
      <c r="A24" s="9" t="s">
        <v>217</v>
      </c>
      <c r="D24" s="41" t="e">
        <f>SUM(D20:D22)</f>
        <v>#REF!</v>
      </c>
      <c r="E24" s="41">
        <v>18483044.913807712</v>
      </c>
      <c r="H24" s="64"/>
    </row>
    <row r="25" ht="13.5" thickTop="1"/>
    <row r="27" spans="1:5" ht="12.75">
      <c r="A27" s="83" t="s">
        <v>116</v>
      </c>
      <c r="B27" s="453" t="s">
        <v>225</v>
      </c>
      <c r="C27" s="453"/>
      <c r="D27" s="453"/>
      <c r="E27" s="453"/>
    </row>
    <row r="28" spans="1:5" ht="15.75" customHeight="1">
      <c r="A28" s="83"/>
      <c r="B28" s="84" t="s">
        <v>233</v>
      </c>
      <c r="C28"/>
      <c r="D28"/>
      <c r="E28"/>
    </row>
    <row r="29" spans="1:5" ht="12.75">
      <c r="A29" s="85"/>
      <c r="B29" s="86"/>
      <c r="C29" s="87"/>
      <c r="D29" s="88" t="s">
        <v>4</v>
      </c>
      <c r="E29" s="87"/>
    </row>
    <row r="30" spans="1:5" ht="12.75">
      <c r="A30" s="85"/>
      <c r="B30" s="86"/>
      <c r="C30" s="87"/>
      <c r="D30" s="87"/>
      <c r="E30" s="87"/>
    </row>
    <row r="31" spans="1:5" ht="12.75">
      <c r="A31" s="85"/>
      <c r="B31" s="86" t="s">
        <v>210</v>
      </c>
      <c r="C31" s="87"/>
      <c r="D31" s="89">
        <f>'[2]WK Cashflow worksheet'!D93</f>
        <v>1304559.83</v>
      </c>
      <c r="E31" s="87"/>
    </row>
    <row r="32" spans="1:5" ht="12.75">
      <c r="A32" s="85"/>
      <c r="B32" s="86" t="s">
        <v>211</v>
      </c>
      <c r="C32" s="87"/>
      <c r="D32" s="89">
        <f>'[2]WK Cashflow worksheet'!D90+'[2]WK Cashflow worksheet'!D91+'[2]WK Cashflow worksheet'!D92</f>
        <v>7316850.23</v>
      </c>
      <c r="E32" s="87"/>
    </row>
    <row r="33" spans="1:5" ht="12.75">
      <c r="A33" s="85"/>
      <c r="B33" s="86" t="s">
        <v>29</v>
      </c>
      <c r="C33" s="87"/>
      <c r="D33" s="90">
        <f>'[2]WK Cashflow worksheet'!D94+'[2]WK Cashflow worksheet'!D95</f>
        <v>-4645574.23</v>
      </c>
      <c r="E33" s="87"/>
    </row>
    <row r="34" spans="1:5" ht="12.75">
      <c r="A34" s="85"/>
      <c r="B34" s="91" t="s">
        <v>212</v>
      </c>
      <c r="C34" s="87"/>
      <c r="D34" s="89">
        <f>SUM(D31:D33)</f>
        <v>3975835.83</v>
      </c>
      <c r="E34" s="87"/>
    </row>
    <row r="35" spans="1:5" ht="12.75">
      <c r="A35" s="85"/>
      <c r="B35" s="87" t="s">
        <v>14</v>
      </c>
      <c r="C35" s="87"/>
      <c r="D35" s="90">
        <f>'[2]WK Cashflow worksheet'!D99-0.6</f>
        <v>1747390.29</v>
      </c>
      <c r="E35" s="87"/>
    </row>
    <row r="36" spans="1:5" ht="12.75">
      <c r="A36" s="85"/>
      <c r="B36" s="86" t="s">
        <v>213</v>
      </c>
      <c r="C36" s="87"/>
      <c r="D36" s="89">
        <f>SUM(D34:D35)</f>
        <v>5723226.12</v>
      </c>
      <c r="E36" s="87"/>
    </row>
    <row r="37" spans="1:5" ht="12.75">
      <c r="A37" s="85"/>
      <c r="B37" s="86" t="s">
        <v>219</v>
      </c>
      <c r="C37" s="87"/>
      <c r="D37" s="92">
        <f>'[2]WK Cashflow worksheet'!D97</f>
        <v>-5723226</v>
      </c>
      <c r="E37" s="87"/>
    </row>
    <row r="38" spans="1:5" ht="12.75">
      <c r="A38" s="85"/>
      <c r="B38" s="86" t="s">
        <v>214</v>
      </c>
      <c r="C38" s="87"/>
      <c r="D38" s="89">
        <f>'[2]WK Cashflow worksheet'!D98</f>
        <v>-3987611.4299999997</v>
      </c>
      <c r="E38" s="87"/>
    </row>
    <row r="39" spans="1:5" ht="13.5" thickBot="1">
      <c r="A39" s="85"/>
      <c r="B39" s="86" t="s">
        <v>221</v>
      </c>
      <c r="C39" s="87"/>
      <c r="D39" s="93">
        <f>SUM(D36:D38)</f>
        <v>-3987611.3099999996</v>
      </c>
      <c r="E39" s="87"/>
    </row>
    <row r="40" spans="1:5" ht="13.5" thickTop="1">
      <c r="A40" s="85"/>
      <c r="E40" s="87"/>
    </row>
    <row r="41" spans="1:5" ht="12.75">
      <c r="A41" s="85"/>
      <c r="B41" s="86"/>
      <c r="C41" s="87"/>
      <c r="D41" s="89"/>
      <c r="E41" s="87"/>
    </row>
    <row r="42" spans="1:5" ht="12.75">
      <c r="A42" s="85"/>
      <c r="B42" s="86"/>
      <c r="C42" s="87"/>
      <c r="D42" s="87"/>
      <c r="E42" s="87"/>
    </row>
    <row r="43" spans="1:5" ht="12.75">
      <c r="A43" s="85" t="s">
        <v>215</v>
      </c>
      <c r="B43" s="86" t="s">
        <v>216</v>
      </c>
      <c r="C43" s="87"/>
      <c r="D43" s="87"/>
      <c r="E43" s="87"/>
    </row>
    <row r="44" spans="1:5" ht="12.75">
      <c r="A44" s="85"/>
      <c r="B44" s="86"/>
      <c r="C44" s="87"/>
      <c r="D44" s="88" t="s">
        <v>469</v>
      </c>
      <c r="E44" s="88" t="s">
        <v>469</v>
      </c>
    </row>
    <row r="45" spans="1:5" ht="12.75">
      <c r="A45" s="85"/>
      <c r="B45" s="86"/>
      <c r="C45" s="87"/>
      <c r="D45" s="88" t="s">
        <v>243</v>
      </c>
      <c r="E45" s="88" t="s">
        <v>237</v>
      </c>
    </row>
    <row r="46" spans="1:5" ht="12.75">
      <c r="A46" s="85"/>
      <c r="B46" s="86"/>
      <c r="C46" s="87"/>
      <c r="D46" s="88" t="s">
        <v>4</v>
      </c>
      <c r="E46" s="88" t="s">
        <v>4</v>
      </c>
    </row>
    <row r="47" spans="1:5" ht="12.75">
      <c r="A47" s="85"/>
      <c r="B47" s="86" t="s">
        <v>94</v>
      </c>
      <c r="C47" s="87"/>
      <c r="D47" s="89">
        <v>917666.78</v>
      </c>
      <c r="E47" s="298">
        <v>1666801.45</v>
      </c>
    </row>
    <row r="48" spans="1:6" ht="12.75">
      <c r="A48" s="85"/>
      <c r="B48" s="86" t="s">
        <v>220</v>
      </c>
      <c r="C48" s="87"/>
      <c r="D48" s="92">
        <v>18088912.63</v>
      </c>
      <c r="E48" s="298">
        <v>16816243.86</v>
      </c>
      <c r="F48" s="16"/>
    </row>
    <row r="49" spans="1:6" ht="13.5" thickBot="1">
      <c r="A49" s="85"/>
      <c r="B49" s="86"/>
      <c r="C49" s="87"/>
      <c r="D49" s="278">
        <v>19006579.41</v>
      </c>
      <c r="E49" s="299">
        <v>18483045.31</v>
      </c>
      <c r="F49" s="16"/>
    </row>
    <row r="50" ht="13.5" thickTop="1"/>
    <row r="59" ht="12.75">
      <c r="A59" s="16" t="s">
        <v>172</v>
      </c>
    </row>
    <row r="60" ht="12.75">
      <c r="A60" s="16" t="s">
        <v>167</v>
      </c>
    </row>
  </sheetData>
  <sheetProtection/>
  <mergeCells count="1">
    <mergeCell ref="B27:E27"/>
  </mergeCells>
  <printOptions/>
  <pageMargins left="0.75" right="0.75" top="1" bottom="1" header="0.5" footer="0.5"/>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0</v>
      </c>
    </row>
    <row r="2" spans="1:8" ht="15">
      <c r="A2" s="38" t="s">
        <v>81</v>
      </c>
      <c r="B2" s="39" t="s">
        <v>102</v>
      </c>
      <c r="C2" s="39" t="s">
        <v>102</v>
      </c>
      <c r="D2" s="10" t="s">
        <v>83</v>
      </c>
      <c r="E2" t="s">
        <v>98</v>
      </c>
      <c r="F2" s="10" t="s">
        <v>70</v>
      </c>
      <c r="G2" s="10" t="s">
        <v>106</v>
      </c>
      <c r="H2" s="10" t="s">
        <v>103</v>
      </c>
    </row>
    <row r="3" spans="2:11" ht="12.75">
      <c r="B3" s="10" t="s">
        <v>470</v>
      </c>
      <c r="C3" s="36" t="s">
        <v>82</v>
      </c>
      <c r="D3" s="10" t="s">
        <v>84</v>
      </c>
      <c r="E3" t="s">
        <v>47</v>
      </c>
      <c r="F3" s="10" t="s">
        <v>47</v>
      </c>
      <c r="G3" s="10" t="s">
        <v>47</v>
      </c>
      <c r="H3" s="10" t="s">
        <v>47</v>
      </c>
      <c r="K3" s="10" t="s">
        <v>84</v>
      </c>
    </row>
    <row r="4" spans="1:12" ht="12.75">
      <c r="A4" s="9" t="s">
        <v>24</v>
      </c>
      <c r="B4" s="77">
        <f>'Balance Sheet'!I13</f>
        <v>1591294.43</v>
      </c>
      <c r="C4" s="77"/>
      <c r="D4" s="77">
        <f>B4-C4</f>
        <v>1591294.43</v>
      </c>
      <c r="E4" s="280">
        <f>-D95</f>
        <v>-1304559.83</v>
      </c>
      <c r="F4" s="283">
        <f>-F62</f>
        <v>35984.33</v>
      </c>
      <c r="G4" s="77"/>
      <c r="H4" s="20"/>
      <c r="I4" s="20"/>
      <c r="J4" s="284">
        <f>SUM(D4:I4)</f>
        <v>322718.9299999999</v>
      </c>
      <c r="K4" s="20">
        <f>J4</f>
        <v>322718.9299999999</v>
      </c>
      <c r="L4" t="s">
        <v>227</v>
      </c>
    </row>
    <row r="5" spans="1:11" ht="12.75">
      <c r="A5" s="9" t="s">
        <v>6</v>
      </c>
      <c r="B5" s="77">
        <f>'Balance Sheet'!I14</f>
        <v>0</v>
      </c>
      <c r="C5" s="77"/>
      <c r="D5" s="77"/>
      <c r="E5" s="20"/>
      <c r="F5" s="77"/>
      <c r="G5" s="77"/>
      <c r="H5" s="20"/>
      <c r="I5" s="20"/>
      <c r="J5" s="20"/>
      <c r="K5" s="20"/>
    </row>
    <row r="6" spans="1:11" ht="12.75">
      <c r="A6" s="9" t="s">
        <v>18</v>
      </c>
      <c r="B6" s="77">
        <f>'Balance Sheet'!I15</f>
        <v>0</v>
      </c>
      <c r="C6" s="77"/>
      <c r="D6" s="77"/>
      <c r="E6" s="20"/>
      <c r="F6" s="77"/>
      <c r="G6" s="77"/>
      <c r="H6" s="20"/>
      <c r="I6" s="20"/>
      <c r="J6" s="20"/>
      <c r="K6" s="20"/>
    </row>
    <row r="7" spans="1:11" ht="12.75">
      <c r="A7" s="9" t="s">
        <v>240</v>
      </c>
      <c r="B7" s="77">
        <f>'Balance Sheet'!I16</f>
        <v>200000</v>
      </c>
      <c r="C7" s="77"/>
      <c r="D7" s="77">
        <f>B7-C7</f>
        <v>200000</v>
      </c>
      <c r="E7" s="20"/>
      <c r="F7" s="77"/>
      <c r="G7" s="77"/>
      <c r="H7" s="20"/>
      <c r="I7" s="20"/>
      <c r="J7" s="284">
        <f>SUM(D7:I7)</f>
        <v>200000</v>
      </c>
      <c r="K7" s="20">
        <f>J7</f>
        <v>200000</v>
      </c>
    </row>
    <row r="8" spans="1:11" ht="12.75">
      <c r="A8" s="9" t="s">
        <v>239</v>
      </c>
      <c r="B8" s="77">
        <f>+'Balance Sheet'!I17</f>
        <v>135000</v>
      </c>
      <c r="C8" s="77"/>
      <c r="D8" s="77">
        <f>B8-C8</f>
        <v>135000</v>
      </c>
      <c r="E8" s="20"/>
      <c r="F8" s="77"/>
      <c r="G8" s="77"/>
      <c r="H8" s="20"/>
      <c r="I8" s="20"/>
      <c r="J8" s="284">
        <f>SUM(D8:I8)</f>
        <v>135000</v>
      </c>
      <c r="K8" s="20">
        <f>J8</f>
        <v>135000</v>
      </c>
    </row>
    <row r="9" spans="1:11" ht="12.75">
      <c r="A9" s="9" t="s">
        <v>5</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48</v>
      </c>
      <c r="C10" s="77"/>
      <c r="D10" s="77"/>
      <c r="E10" s="20"/>
      <c r="F10" s="77"/>
      <c r="G10" s="77"/>
      <c r="H10" s="20"/>
      <c r="I10" s="20"/>
      <c r="J10" s="20"/>
      <c r="K10" s="20"/>
    </row>
    <row r="11" spans="1:11" ht="12.75">
      <c r="A11" s="9" t="s">
        <v>25</v>
      </c>
      <c r="B11" s="77" t="s">
        <v>48</v>
      </c>
      <c r="C11" s="77"/>
      <c r="D11" s="77"/>
      <c r="E11" s="20"/>
      <c r="F11" s="77"/>
      <c r="G11" s="77"/>
      <c r="H11" s="20"/>
      <c r="I11" s="20"/>
      <c r="J11" s="20"/>
      <c r="K11" s="20"/>
    </row>
    <row r="12" spans="1:11" ht="12.75">
      <c r="A12" t="s">
        <v>28</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26</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228</v>
      </c>
    </row>
    <row r="14" spans="1:11" ht="12.75">
      <c r="A14" t="s">
        <v>41</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100</v>
      </c>
      <c r="B15" s="77">
        <f>'Balance Sheet'!I24</f>
        <v>19081067.18</v>
      </c>
      <c r="C15" s="77"/>
      <c r="D15" s="77">
        <f t="shared" si="0"/>
        <v>19081067.18</v>
      </c>
      <c r="E15" s="106">
        <f>-D92</f>
        <v>-3987611.4299999997</v>
      </c>
      <c r="F15" s="77"/>
      <c r="G15" s="77"/>
      <c r="H15" s="20"/>
      <c r="I15" s="20"/>
      <c r="J15" s="20">
        <f t="shared" si="1"/>
        <v>15093455.75</v>
      </c>
      <c r="K15" s="20">
        <f>-SUM(C15:C17)</f>
        <v>-46470</v>
      </c>
      <c r="L15" t="s">
        <v>109</v>
      </c>
    </row>
    <row r="16" spans="1:12" ht="12.75">
      <c r="A16" s="37" t="s">
        <v>42</v>
      </c>
      <c r="B16" s="77">
        <f>'Balance Sheet'!I25</f>
        <v>1028149.22</v>
      </c>
      <c r="C16" s="77"/>
      <c r="D16" s="77">
        <f t="shared" si="0"/>
        <v>1028149.22</v>
      </c>
      <c r="E16" s="20"/>
      <c r="F16" s="77"/>
      <c r="G16" s="77"/>
      <c r="H16" s="20"/>
      <c r="I16" s="20"/>
      <c r="J16" s="20">
        <f t="shared" si="1"/>
        <v>1028149.22</v>
      </c>
      <c r="K16" s="20"/>
      <c r="L16" t="s">
        <v>48</v>
      </c>
    </row>
    <row r="17" spans="1:12" ht="12.75">
      <c r="A17" s="37" t="s">
        <v>27</v>
      </c>
      <c r="B17" s="77">
        <f>'Balance Sheet'!I26</f>
        <v>1807174.63</v>
      </c>
      <c r="C17" s="77">
        <v>46470</v>
      </c>
      <c r="D17" s="77">
        <f t="shared" si="0"/>
        <v>1760704.63</v>
      </c>
      <c r="E17" s="20"/>
      <c r="F17" s="77"/>
      <c r="G17" s="77"/>
      <c r="H17" s="20"/>
      <c r="I17" s="20"/>
      <c r="J17" s="20">
        <f t="shared" si="1"/>
        <v>1760704.63</v>
      </c>
      <c r="K17" s="66">
        <f>SUM(B15:B17)</f>
        <v>21916391.029999997</v>
      </c>
      <c r="L17" t="s">
        <v>110</v>
      </c>
    </row>
    <row r="18" spans="1:11" ht="12.75">
      <c r="A18" t="s">
        <v>46</v>
      </c>
      <c r="B18" s="77">
        <v>0</v>
      </c>
      <c r="C18" s="77"/>
      <c r="D18" s="77">
        <f t="shared" si="0"/>
        <v>0</v>
      </c>
      <c r="E18" s="20"/>
      <c r="F18" s="77"/>
      <c r="G18" s="77"/>
      <c r="H18" s="20"/>
      <c r="I18" s="20"/>
      <c r="J18" s="20">
        <f t="shared" si="1"/>
        <v>0</v>
      </c>
      <c r="K18" s="20"/>
    </row>
    <row r="19" spans="2:11" ht="12.75">
      <c r="B19" s="77" t="s">
        <v>48</v>
      </c>
      <c r="C19" s="77"/>
      <c r="D19" s="77"/>
      <c r="E19" s="20"/>
      <c r="F19" s="77"/>
      <c r="G19" s="77"/>
      <c r="H19" s="20"/>
      <c r="I19" s="20"/>
      <c r="J19" s="20"/>
      <c r="K19" s="20"/>
    </row>
    <row r="20" spans="2:11" ht="12.75">
      <c r="B20" s="77" t="s">
        <v>48</v>
      </c>
      <c r="C20" s="77"/>
      <c r="D20" s="77"/>
      <c r="E20" s="20"/>
      <c r="F20" s="77"/>
      <c r="G20" s="77"/>
      <c r="H20" s="20"/>
      <c r="I20" s="20"/>
      <c r="J20" s="20"/>
      <c r="K20" s="20"/>
    </row>
    <row r="21" spans="1:11" ht="12.75">
      <c r="A21" s="9" t="s">
        <v>29</v>
      </c>
      <c r="B21" s="77" t="s">
        <v>48</v>
      </c>
      <c r="C21" s="77"/>
      <c r="D21" s="77"/>
      <c r="E21" s="20"/>
      <c r="F21" s="77"/>
      <c r="G21" s="77"/>
      <c r="H21" s="20"/>
      <c r="I21" s="20"/>
      <c r="J21" s="20"/>
      <c r="K21" s="20"/>
    </row>
    <row r="22" spans="1:12" ht="12.75">
      <c r="A22" t="s">
        <v>30</v>
      </c>
      <c r="B22" s="77">
        <f>'Balance Sheet'!I30</f>
        <v>571477.78</v>
      </c>
      <c r="C22" s="77"/>
      <c r="D22" s="77">
        <f>C22-B22</f>
        <v>-571477.78</v>
      </c>
      <c r="E22" s="106">
        <f>-D96</f>
        <v>357089.36</v>
      </c>
      <c r="F22" s="77"/>
      <c r="G22" s="77">
        <f>-G49</f>
        <v>1711073.42</v>
      </c>
      <c r="H22" s="20"/>
      <c r="I22" s="20"/>
      <c r="J22" s="285">
        <f>SUM(D22:I22)</f>
        <v>1496685</v>
      </c>
      <c r="K22" s="286" t="e">
        <f>+J22+J23+J24+J42+J25+J26</f>
        <v>#REF!</v>
      </c>
      <c r="L22" t="s">
        <v>107</v>
      </c>
    </row>
    <row r="23" spans="1:11" ht="12.75">
      <c r="A23" t="s">
        <v>31</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32</v>
      </c>
      <c r="B24" s="77">
        <f>'Balance Sheet'!I33</f>
        <v>66006.08</v>
      </c>
      <c r="C24" s="77"/>
      <c r="D24" s="77">
        <f>C24-B24</f>
        <v>-66006.08</v>
      </c>
      <c r="E24" s="276">
        <v>-15238.13</v>
      </c>
      <c r="F24" s="77"/>
      <c r="G24" s="77"/>
      <c r="H24" s="20">
        <f>-H70</f>
        <v>93816.6292</v>
      </c>
      <c r="I24" s="20"/>
      <c r="J24" s="285">
        <f>SUM(D24:I24)</f>
        <v>12572.41919999999</v>
      </c>
      <c r="K24" s="20"/>
    </row>
    <row r="25" spans="1:11" ht="12.75">
      <c r="A25" t="s">
        <v>224</v>
      </c>
      <c r="B25" s="77">
        <f>'Balance Sheet'!I32</f>
        <v>2823464</v>
      </c>
      <c r="C25" s="77"/>
      <c r="D25" s="77">
        <f>C25-B25</f>
        <v>-2823464</v>
      </c>
      <c r="E25" s="77">
        <v>3130000</v>
      </c>
      <c r="F25" s="77"/>
      <c r="G25" s="77"/>
      <c r="H25" s="20"/>
      <c r="I25" s="20"/>
      <c r="J25" s="285">
        <f>SUM(D25:I25)</f>
        <v>306536</v>
      </c>
      <c r="K25" s="20"/>
    </row>
    <row r="26" spans="1:11" ht="12.75">
      <c r="A26" t="s">
        <v>249</v>
      </c>
      <c r="B26" s="77">
        <f>+'Balance Sheet'!I34</f>
        <v>3741183.66</v>
      </c>
      <c r="C26" s="77"/>
      <c r="D26" s="77">
        <f>C26-B26</f>
        <v>-3741183.66</v>
      </c>
      <c r="E26" s="20"/>
      <c r="F26" s="77"/>
      <c r="G26" s="77"/>
      <c r="H26" s="20"/>
      <c r="I26" s="20"/>
      <c r="J26" s="285">
        <f>SUM(D26:I26)</f>
        <v>-3741183.66</v>
      </c>
      <c r="K26" s="20"/>
    </row>
    <row r="27" spans="2:11" ht="12.75">
      <c r="B27" s="77" t="s">
        <v>48</v>
      </c>
      <c r="C27" s="77"/>
      <c r="D27" s="77"/>
      <c r="E27" s="20"/>
      <c r="F27" s="77"/>
      <c r="G27" s="77"/>
      <c r="H27" s="20"/>
      <c r="I27" s="20"/>
      <c r="J27" s="20"/>
      <c r="K27" s="20"/>
    </row>
    <row r="28" spans="2:11" ht="12.75">
      <c r="B28" s="77" t="s">
        <v>48</v>
      </c>
      <c r="C28" s="77"/>
      <c r="D28" s="77"/>
      <c r="E28" s="20"/>
      <c r="F28" s="77"/>
      <c r="G28" s="77"/>
      <c r="H28" s="20"/>
      <c r="I28" s="20"/>
      <c r="J28" s="20"/>
      <c r="K28" s="20"/>
    </row>
    <row r="29" spans="1:11" ht="12.75">
      <c r="A29" s="9" t="s">
        <v>33</v>
      </c>
      <c r="B29" s="77" t="s">
        <v>48</v>
      </c>
      <c r="C29" s="77"/>
      <c r="D29" s="77"/>
      <c r="E29" s="20"/>
      <c r="F29" s="77"/>
      <c r="G29" s="77"/>
      <c r="H29" s="20"/>
      <c r="I29" s="20"/>
      <c r="J29" s="20"/>
      <c r="K29" s="20"/>
    </row>
    <row r="30" spans="2:11" ht="12.75">
      <c r="B30" s="77" t="s">
        <v>48</v>
      </c>
      <c r="C30" s="77"/>
      <c r="D30" s="77"/>
      <c r="E30" s="20"/>
      <c r="F30" s="77"/>
      <c r="G30" s="77"/>
      <c r="H30" s="20"/>
      <c r="I30" s="20"/>
      <c r="J30" s="20"/>
      <c r="K30" s="20"/>
    </row>
    <row r="31" spans="2:11" ht="12.75">
      <c r="B31" s="77" t="s">
        <v>48</v>
      </c>
      <c r="C31" s="77"/>
      <c r="D31" s="77"/>
      <c r="E31" s="20"/>
      <c r="F31" s="77"/>
      <c r="G31" s="77"/>
      <c r="H31" s="20"/>
      <c r="I31" s="20"/>
      <c r="J31" s="20"/>
      <c r="K31" s="20"/>
    </row>
    <row r="32" spans="2:11" ht="12.75">
      <c r="B32" s="77" t="s">
        <v>48</v>
      </c>
      <c r="C32" s="77"/>
      <c r="D32" s="77"/>
      <c r="E32" s="20"/>
      <c r="F32" s="77"/>
      <c r="G32" s="77"/>
      <c r="H32" s="20"/>
      <c r="I32" s="20"/>
      <c r="J32" s="20"/>
      <c r="K32" s="20"/>
    </row>
    <row r="33" spans="1:11" ht="12.75">
      <c r="A33" s="9" t="s">
        <v>34</v>
      </c>
      <c r="B33" s="77" t="s">
        <v>48</v>
      </c>
      <c r="C33" s="77"/>
      <c r="D33" s="77"/>
      <c r="E33" s="20"/>
      <c r="F33" s="77"/>
      <c r="G33" s="77"/>
      <c r="H33" s="20"/>
      <c r="I33" s="20"/>
      <c r="J33" s="20"/>
      <c r="K33" s="20"/>
    </row>
    <row r="34" spans="2:11" ht="12.75">
      <c r="B34" s="77" t="s">
        <v>48</v>
      </c>
      <c r="C34" s="77"/>
      <c r="D34" s="77"/>
      <c r="E34" s="20"/>
      <c r="F34" s="77"/>
      <c r="G34" s="77"/>
      <c r="H34" s="20"/>
      <c r="I34" s="20"/>
      <c r="J34" s="20"/>
      <c r="K34" s="20"/>
    </row>
    <row r="35" spans="1:11" ht="12.75">
      <c r="A35" s="9" t="s">
        <v>35</v>
      </c>
      <c r="B35" s="77">
        <f>'Balance Sheet'!I43</f>
        <v>9723226</v>
      </c>
      <c r="C35" s="77">
        <v>1000000</v>
      </c>
      <c r="D35" s="77">
        <f>C35-B35</f>
        <v>-8723226</v>
      </c>
      <c r="E35" s="106">
        <f>-D99</f>
        <v>5723226</v>
      </c>
      <c r="F35" s="77"/>
      <c r="G35" s="77"/>
      <c r="H35" s="20"/>
      <c r="I35" s="20"/>
      <c r="J35" s="20">
        <f>SUM(D35:I35)</f>
        <v>-3000000</v>
      </c>
      <c r="K35" s="20"/>
    </row>
    <row r="36" spans="1:12" ht="12.75">
      <c r="A36" s="9" t="s">
        <v>36</v>
      </c>
      <c r="B36" s="77">
        <f>'Balance Sheet'!I44</f>
        <v>5564425.62</v>
      </c>
      <c r="C36" s="77"/>
      <c r="D36" s="77">
        <f>C36-B36</f>
        <v>-5564425.62</v>
      </c>
      <c r="E36" s="20"/>
      <c r="F36" s="77"/>
      <c r="G36" s="77"/>
      <c r="H36" s="20"/>
      <c r="I36" s="20"/>
      <c r="J36" s="20">
        <f>SUM(D36:I36)</f>
        <v>-5564425.62</v>
      </c>
      <c r="K36" s="20">
        <f>J35+J36</f>
        <v>-8564425.620000001</v>
      </c>
      <c r="L36" t="s">
        <v>226</v>
      </c>
    </row>
    <row r="37" spans="1:12" ht="12.75">
      <c r="A37" s="9" t="s">
        <v>43</v>
      </c>
      <c r="B37" s="77">
        <f>'Balance Sheet'!I45</f>
        <v>4298751.659999999</v>
      </c>
      <c r="C37" s="77">
        <v>-30085</v>
      </c>
      <c r="D37" s="77"/>
      <c r="E37" s="20"/>
      <c r="F37" s="77"/>
      <c r="G37" s="77"/>
      <c r="H37" s="20"/>
      <c r="I37" s="20"/>
      <c r="J37" s="20">
        <f>SUM(D37:I37)</f>
        <v>0</v>
      </c>
      <c r="K37" s="20"/>
      <c r="L37" t="s">
        <v>230</v>
      </c>
    </row>
    <row r="38" spans="1:11" ht="12.75">
      <c r="A38" s="9"/>
      <c r="B38" s="77" t="s">
        <v>48</v>
      </c>
      <c r="C38" s="77"/>
      <c r="D38" s="77"/>
      <c r="E38" s="20"/>
      <c r="F38" s="77"/>
      <c r="G38" s="77"/>
      <c r="H38" s="20"/>
      <c r="I38" s="20"/>
      <c r="J38" s="20"/>
      <c r="K38" s="20"/>
    </row>
    <row r="39" spans="1:11" ht="12.75">
      <c r="A39" s="9" t="s">
        <v>37</v>
      </c>
      <c r="B39" s="77" t="s">
        <v>48</v>
      </c>
      <c r="C39" s="77"/>
      <c r="D39" s="77"/>
      <c r="E39" s="20"/>
      <c r="F39" s="77"/>
      <c r="G39" s="77"/>
      <c r="H39" s="20"/>
      <c r="I39" s="20"/>
      <c r="J39" s="20"/>
      <c r="K39" s="20"/>
    </row>
    <row r="40" spans="1:11" ht="12.75">
      <c r="A40" s="16"/>
      <c r="B40" s="77" t="s">
        <v>48</v>
      </c>
      <c r="C40" s="77"/>
      <c r="D40" s="77"/>
      <c r="E40" s="20"/>
      <c r="F40" s="77"/>
      <c r="G40" s="77"/>
      <c r="H40" s="20"/>
      <c r="I40" s="20"/>
      <c r="J40" s="20"/>
      <c r="K40" s="20"/>
    </row>
    <row r="41" spans="1:11" ht="12.75">
      <c r="A41" s="9" t="s">
        <v>44</v>
      </c>
      <c r="B41" s="77" t="s">
        <v>48</v>
      </c>
      <c r="C41" s="77"/>
      <c r="D41" s="77"/>
      <c r="E41" s="20"/>
      <c r="F41" s="77"/>
      <c r="G41" s="77"/>
      <c r="H41" s="20"/>
      <c r="I41" s="20"/>
      <c r="J41" s="20"/>
      <c r="K41" s="20"/>
    </row>
    <row r="42" spans="1:11" ht="12.75">
      <c r="A42" s="16" t="s">
        <v>45</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49</v>
      </c>
      <c r="B47" s="281"/>
      <c r="C47" s="281"/>
      <c r="D47" s="281">
        <f>-PL!J16</f>
        <v>-3234675.62</v>
      </c>
      <c r="E47" s="20" t="s">
        <v>48</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50</v>
      </c>
      <c r="B49" s="281"/>
      <c r="C49" s="281"/>
      <c r="D49" s="281">
        <f>-PL!J18</f>
        <v>1711073.42</v>
      </c>
      <c r="E49" s="20"/>
      <c r="F49" s="77"/>
      <c r="G49" s="77">
        <f>-D49</f>
        <v>-1711073.42</v>
      </c>
      <c r="H49" s="20"/>
      <c r="I49" s="20"/>
      <c r="J49" s="20">
        <f>SUM(D49:I49)</f>
        <v>0</v>
      </c>
      <c r="K49" s="20"/>
    </row>
    <row r="50" spans="1:11" ht="12.75">
      <c r="A50" s="16"/>
      <c r="B50" s="281"/>
      <c r="C50" s="281"/>
      <c r="D50" s="281" t="s">
        <v>48</v>
      </c>
      <c r="E50" s="20"/>
      <c r="F50" s="77"/>
      <c r="G50" s="77"/>
      <c r="H50" s="20"/>
      <c r="I50" s="20"/>
      <c r="J50" s="20"/>
      <c r="K50" s="20"/>
    </row>
    <row r="51" spans="1:11" ht="12.75">
      <c r="A51" s="16" t="s">
        <v>51</v>
      </c>
      <c r="B51" s="281"/>
      <c r="C51" s="281"/>
      <c r="D51" s="281" t="s">
        <v>48</v>
      </c>
      <c r="E51" s="20"/>
      <c r="F51" s="77"/>
      <c r="G51" s="77"/>
      <c r="H51" s="20"/>
      <c r="I51" s="20"/>
      <c r="J51" s="20"/>
      <c r="K51" s="20"/>
    </row>
    <row r="52" spans="1:11" ht="12.75">
      <c r="A52" s="16"/>
      <c r="B52" s="281"/>
      <c r="C52" s="281"/>
      <c r="D52" s="281" t="s">
        <v>48</v>
      </c>
      <c r="E52" s="20"/>
      <c r="F52" s="77"/>
      <c r="G52" s="77"/>
      <c r="H52" s="20"/>
      <c r="I52" s="20"/>
      <c r="J52" s="20"/>
      <c r="K52" s="20"/>
    </row>
    <row r="53" spans="1:11" ht="12.75">
      <c r="A53" s="16" t="s">
        <v>263</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52</v>
      </c>
      <c r="B55" s="281"/>
      <c r="C55" s="281"/>
      <c r="D55" s="281">
        <f>-PL!J22</f>
        <v>645444.8200000001</v>
      </c>
      <c r="E55" s="20"/>
      <c r="F55" s="77"/>
      <c r="G55" s="77">
        <f>-D55</f>
        <v>-645444.8200000001</v>
      </c>
      <c r="H55" s="20"/>
      <c r="I55" s="20"/>
      <c r="J55" s="20">
        <f>SUM(D55:I55)</f>
        <v>0</v>
      </c>
      <c r="K55" s="20"/>
    </row>
    <row r="56" spans="1:11" ht="12.75">
      <c r="A56" s="16"/>
      <c r="B56" s="281"/>
      <c r="C56" s="281"/>
      <c r="D56" s="281" t="s">
        <v>48</v>
      </c>
      <c r="E56" s="20"/>
      <c r="F56" s="77"/>
      <c r="G56" s="77"/>
      <c r="H56" s="20"/>
      <c r="I56" s="20"/>
      <c r="J56" s="20"/>
      <c r="K56" s="20"/>
    </row>
    <row r="57" spans="1:11" ht="12.75">
      <c r="A57" s="16" t="s">
        <v>53</v>
      </c>
      <c r="B57" s="281"/>
      <c r="C57" s="281"/>
      <c r="D57" s="281" t="s">
        <v>48</v>
      </c>
      <c r="E57" s="20"/>
      <c r="F57" s="77"/>
      <c r="G57" s="77"/>
      <c r="H57" s="20"/>
      <c r="I57" s="20"/>
      <c r="J57" s="20"/>
      <c r="K57" s="20"/>
    </row>
    <row r="58" spans="1:11" ht="12.75">
      <c r="A58" s="16" t="s">
        <v>54</v>
      </c>
      <c r="B58" s="281"/>
      <c r="C58" s="281"/>
      <c r="D58" s="281" t="s">
        <v>48</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55</v>
      </c>
      <c r="B60" s="281"/>
      <c r="C60" s="281"/>
      <c r="D60" s="281" t="s">
        <v>48</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56</v>
      </c>
      <c r="B62" s="281"/>
      <c r="C62" s="281"/>
      <c r="D62" s="281">
        <f>-PL!J29</f>
        <v>35984.33</v>
      </c>
      <c r="E62" s="20"/>
      <c r="F62" s="77">
        <f>-D62</f>
        <v>-35984.33</v>
      </c>
      <c r="G62" s="77"/>
      <c r="H62" s="20"/>
      <c r="I62" s="20"/>
      <c r="J62" s="20">
        <f>SUM(D62:I62)</f>
        <v>0</v>
      </c>
      <c r="K62" s="20">
        <f>J62</f>
        <v>0</v>
      </c>
    </row>
    <row r="63" spans="1:11" ht="12.75">
      <c r="A63" s="16"/>
      <c r="B63" s="281"/>
      <c r="C63" s="281"/>
      <c r="D63" s="281" t="s">
        <v>48</v>
      </c>
      <c r="E63" s="20"/>
      <c r="F63" s="77"/>
      <c r="G63" s="77"/>
      <c r="H63" s="20"/>
      <c r="I63" s="20"/>
      <c r="J63" s="20"/>
      <c r="K63" s="20"/>
    </row>
    <row r="64" spans="1:11" ht="12.75">
      <c r="A64" s="16" t="s">
        <v>77</v>
      </c>
      <c r="B64" s="281"/>
      <c r="C64" s="281"/>
      <c r="D64" s="281">
        <f>-PL!J31</f>
        <v>29123.18</v>
      </c>
      <c r="E64" s="20"/>
      <c r="F64" s="77">
        <f>-D64</f>
        <v>-29123.18</v>
      </c>
      <c r="G64" s="77"/>
      <c r="H64" s="20"/>
      <c r="I64" s="20"/>
      <c r="J64" s="20">
        <f>SUM(D64:I64)</f>
        <v>0</v>
      </c>
      <c r="K64" s="20"/>
    </row>
    <row r="65" spans="1:11" ht="12.75">
      <c r="A65" s="16"/>
      <c r="B65" s="281"/>
      <c r="C65" s="281"/>
      <c r="D65" s="281" t="s">
        <v>48</v>
      </c>
      <c r="E65" s="20"/>
      <c r="F65" s="77"/>
      <c r="G65" s="77"/>
      <c r="H65" s="20"/>
      <c r="I65" s="20"/>
      <c r="J65" s="20"/>
      <c r="K65" s="20"/>
    </row>
    <row r="66" spans="1:11" ht="12.75">
      <c r="A66" s="16" t="s">
        <v>57</v>
      </c>
      <c r="B66" s="281"/>
      <c r="C66" s="281"/>
      <c r="D66" s="281">
        <f>-PL!J33</f>
        <v>-90671.32</v>
      </c>
      <c r="E66" s="20"/>
      <c r="F66" s="77"/>
      <c r="G66" s="77"/>
      <c r="H66" s="20"/>
      <c r="I66" s="20"/>
      <c r="J66" s="282">
        <f>SUM(D66:I66)</f>
        <v>-90671.32</v>
      </c>
      <c r="K66" s="20">
        <v>0</v>
      </c>
    </row>
    <row r="67" spans="1:11" ht="12.75">
      <c r="A67" s="25"/>
      <c r="B67" s="281"/>
      <c r="C67" s="281"/>
      <c r="D67" s="281" t="s">
        <v>48</v>
      </c>
      <c r="E67" s="20"/>
      <c r="F67" s="77"/>
      <c r="G67" s="77"/>
      <c r="H67" s="20"/>
      <c r="I67" s="20"/>
      <c r="J67" s="20"/>
      <c r="K67" s="20"/>
    </row>
    <row r="68" spans="1:11" ht="12.75">
      <c r="A68" s="27" t="s">
        <v>58</v>
      </c>
      <c r="B68" s="281"/>
      <c r="C68" s="281"/>
      <c r="D68" s="281" t="s">
        <v>48</v>
      </c>
      <c r="E68" s="20"/>
      <c r="F68" s="77"/>
      <c r="G68" s="77"/>
      <c r="H68" s="20"/>
      <c r="I68" s="20"/>
      <c r="J68" s="20"/>
      <c r="K68" s="20"/>
    </row>
    <row r="69" spans="1:11" ht="12.75">
      <c r="A69" s="16"/>
      <c r="B69" s="281"/>
      <c r="C69" s="281"/>
      <c r="D69" s="281" t="s">
        <v>48</v>
      </c>
      <c r="E69" s="20"/>
      <c r="F69" s="77"/>
      <c r="G69" s="77"/>
      <c r="H69" s="20"/>
      <c r="I69" s="20"/>
      <c r="J69" s="20"/>
      <c r="K69" s="20"/>
    </row>
    <row r="70" spans="1:11" ht="12.75">
      <c r="A70" s="27" t="s">
        <v>59</v>
      </c>
      <c r="B70" s="281"/>
      <c r="C70" s="281"/>
      <c r="D70" s="281">
        <f>-PL!J37</f>
        <v>93816.6292</v>
      </c>
      <c r="E70" s="20"/>
      <c r="F70" s="77">
        <v>0</v>
      </c>
      <c r="G70" s="77"/>
      <c r="H70" s="20">
        <f>-D70</f>
        <v>-93816.6292</v>
      </c>
      <c r="I70" s="20"/>
      <c r="J70" s="20">
        <f>SUM(D70:I70)</f>
        <v>0</v>
      </c>
      <c r="K70" s="20"/>
    </row>
    <row r="71" spans="1:11" ht="12.75">
      <c r="A71" s="27"/>
      <c r="B71" s="281"/>
      <c r="C71" s="281"/>
      <c r="D71" s="281" t="s">
        <v>48</v>
      </c>
      <c r="E71" s="20"/>
      <c r="F71" s="77"/>
      <c r="G71" s="77"/>
      <c r="H71" s="20"/>
      <c r="I71" s="20"/>
      <c r="J71" s="20"/>
      <c r="K71" s="20"/>
    </row>
    <row r="72" spans="1:11" ht="12.75">
      <c r="A72" s="27" t="s">
        <v>60</v>
      </c>
      <c r="B72" s="281"/>
      <c r="C72" s="281"/>
      <c r="D72" s="281" t="s">
        <v>48</v>
      </c>
      <c r="E72" s="20"/>
      <c r="F72" s="77"/>
      <c r="G72" s="77"/>
      <c r="H72" s="20"/>
      <c r="I72" s="20"/>
      <c r="J72" s="20"/>
      <c r="K72" s="20"/>
    </row>
    <row r="73" spans="1:11" ht="12.75">
      <c r="A73" s="27"/>
      <c r="B73" s="281"/>
      <c r="C73" s="281"/>
      <c r="D73" s="281" t="s">
        <v>48</v>
      </c>
      <c r="E73" s="20"/>
      <c r="F73" s="77"/>
      <c r="G73" s="77"/>
      <c r="H73" s="20"/>
      <c r="I73" s="20"/>
      <c r="J73" s="20"/>
      <c r="K73" s="20"/>
    </row>
    <row r="74" spans="1:11" ht="12.75">
      <c r="A74" s="27" t="s">
        <v>61</v>
      </c>
      <c r="B74" s="281"/>
      <c r="C74" s="281"/>
      <c r="D74" s="281" t="e">
        <f>-PL!#REF!</f>
        <v>#REF!</v>
      </c>
      <c r="E74" s="20"/>
      <c r="F74" s="77"/>
      <c r="G74" s="77"/>
      <c r="H74" s="20"/>
      <c r="I74" s="20"/>
      <c r="J74" s="282" t="e">
        <f>SUM(D74:I74)</f>
        <v>#REF!</v>
      </c>
      <c r="K74" s="20"/>
    </row>
    <row r="75" spans="1:11" ht="12.75">
      <c r="A75" s="27"/>
      <c r="B75" s="281"/>
      <c r="C75" s="281"/>
      <c r="D75" s="281"/>
      <c r="E75" s="20" t="s">
        <v>48</v>
      </c>
      <c r="F75" s="77"/>
      <c r="G75" s="77"/>
      <c r="H75" s="20"/>
      <c r="I75" s="20"/>
      <c r="J75" s="20"/>
      <c r="K75" s="20"/>
    </row>
    <row r="76" spans="1:11" ht="12.75">
      <c r="A76" s="27" t="s">
        <v>97</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101</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48</v>
      </c>
      <c r="E84" s="20"/>
      <c r="F84" s="77"/>
      <c r="G84" s="77"/>
      <c r="H84" s="20"/>
      <c r="I84" s="20"/>
      <c r="J84" s="20"/>
      <c r="K84" s="20"/>
    </row>
    <row r="85" spans="1:11" ht="13.5" thickBot="1">
      <c r="A85" s="27" t="s">
        <v>48</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48</v>
      </c>
      <c r="B86" s="281"/>
      <c r="C86" s="281"/>
      <c r="D86" s="281" t="s">
        <v>48</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48</v>
      </c>
      <c r="F88" s="77"/>
      <c r="G88" s="77"/>
      <c r="H88" s="20"/>
      <c r="I88" s="20"/>
      <c r="J88" s="20"/>
      <c r="K88" s="20"/>
    </row>
    <row r="89" spans="1:11" ht="12.75">
      <c r="A89" t="s">
        <v>86</v>
      </c>
      <c r="B89" s="77"/>
      <c r="C89" s="77"/>
      <c r="D89" s="77"/>
      <c r="E89" s="20"/>
      <c r="F89" s="77"/>
      <c r="G89" s="77"/>
      <c r="H89" s="20"/>
      <c r="I89" s="20"/>
      <c r="J89" s="20"/>
      <c r="K89" s="20"/>
    </row>
    <row r="90" spans="1:11" ht="12.75">
      <c r="A90" t="s">
        <v>85</v>
      </c>
      <c r="B90" s="77"/>
      <c r="C90" s="77"/>
      <c r="D90" s="77"/>
      <c r="E90" s="20"/>
      <c r="F90" s="77"/>
      <c r="G90" s="77"/>
      <c r="H90" s="20"/>
      <c r="I90" s="20"/>
      <c r="J90" s="20"/>
      <c r="K90" s="20"/>
    </row>
    <row r="91" spans="2:11" ht="12.75">
      <c r="B91" s="289" t="s">
        <v>75</v>
      </c>
      <c r="C91" s="289" t="s">
        <v>40</v>
      </c>
      <c r="D91" s="77" t="s">
        <v>66</v>
      </c>
      <c r="E91" s="20"/>
      <c r="F91" s="77"/>
      <c r="G91" s="77"/>
      <c r="H91" s="20"/>
      <c r="I91" s="20"/>
      <c r="J91" s="20"/>
      <c r="K91" s="20"/>
    </row>
    <row r="92" spans="1:11" ht="12.75">
      <c r="A92" t="s">
        <v>94</v>
      </c>
      <c r="B92" s="10">
        <f>-134434.85+23296.13-881.16+45248.99+3206.36+750000+3100000+107416.45</f>
        <v>3893851.92</v>
      </c>
      <c r="C92" s="10">
        <f>85090.23+8669.28</f>
        <v>93759.51</v>
      </c>
      <c r="D92" s="10">
        <f>B92+C92</f>
        <v>3987611.4299999997</v>
      </c>
      <c r="E92" s="20" t="s">
        <v>99</v>
      </c>
      <c r="F92" s="77"/>
      <c r="G92" s="77"/>
      <c r="H92" s="20"/>
      <c r="I92" s="20"/>
      <c r="J92" s="20"/>
      <c r="K92" s="20"/>
    </row>
    <row r="93" spans="1:11" ht="12.75">
      <c r="A93" t="s">
        <v>87</v>
      </c>
      <c r="B93" s="10">
        <f>777985.43-373302.5</f>
        <v>404682.93000000005</v>
      </c>
      <c r="C93" s="10">
        <f>327522.22-145600</f>
        <v>181922.21999999997</v>
      </c>
      <c r="D93" s="10">
        <f aca="true" t="shared" si="3" ref="D93:D101">B93+C93</f>
        <v>586605.15</v>
      </c>
      <c r="E93" s="20" t="s">
        <v>99</v>
      </c>
      <c r="F93" s="77"/>
      <c r="G93" s="77"/>
      <c r="H93" s="20"/>
      <c r="I93" s="20"/>
      <c r="J93" s="20"/>
      <c r="K93" s="20"/>
    </row>
    <row r="94" spans="1:11" ht="12.75">
      <c r="A94" t="s">
        <v>88</v>
      </c>
      <c r="B94" s="10">
        <f>70076+8187.5+2164370.15</f>
        <v>2242633.65</v>
      </c>
      <c r="C94" s="10">
        <v>500000</v>
      </c>
      <c r="D94" s="10">
        <f t="shared" si="3"/>
        <v>2742633.65</v>
      </c>
      <c r="E94" s="20" t="s">
        <v>99</v>
      </c>
      <c r="F94" s="77"/>
      <c r="G94" s="77"/>
      <c r="H94" s="20"/>
      <c r="I94" s="20"/>
      <c r="J94" s="20"/>
      <c r="K94" s="20"/>
    </row>
    <row r="95" spans="1:11" ht="12.75">
      <c r="A95" t="s">
        <v>89</v>
      </c>
      <c r="B95" s="10">
        <v>1303691.83</v>
      </c>
      <c r="C95" s="10">
        <v>868</v>
      </c>
      <c r="D95" s="10">
        <f>B95+C95</f>
        <v>1304559.83</v>
      </c>
      <c r="E95" s="20" t="s">
        <v>99</v>
      </c>
      <c r="F95" s="77"/>
      <c r="G95" s="77"/>
      <c r="H95" s="20"/>
      <c r="I95" s="20"/>
      <c r="J95" s="20"/>
      <c r="K95" s="20"/>
    </row>
    <row r="96" spans="1:11" ht="12.75">
      <c r="A96" t="s">
        <v>95</v>
      </c>
      <c r="B96" s="10">
        <f>-558666.21+201576.85</f>
        <v>-357089.36</v>
      </c>
      <c r="D96" s="10">
        <f t="shared" si="3"/>
        <v>-357089.36</v>
      </c>
      <c r="E96" s="20" t="s">
        <v>99</v>
      </c>
      <c r="F96" s="77"/>
      <c r="G96" s="77"/>
      <c r="H96" s="20"/>
      <c r="I96" s="20"/>
      <c r="J96" s="20"/>
      <c r="K96" s="20"/>
    </row>
    <row r="97" spans="1:11" ht="12.75">
      <c r="A97" t="s">
        <v>90</v>
      </c>
      <c r="B97" s="17">
        <f>-3130000-10523-25761.87+41000-650000-500000-10000</f>
        <v>-4285284.87</v>
      </c>
      <c r="C97" s="17">
        <v>-3200</v>
      </c>
      <c r="D97" s="17">
        <f t="shared" si="3"/>
        <v>-4288484.87</v>
      </c>
      <c r="E97" s="20" t="s">
        <v>99</v>
      </c>
      <c r="F97" s="77"/>
      <c r="G97" s="77"/>
      <c r="H97" s="20"/>
      <c r="I97" s="20"/>
      <c r="J97" s="20"/>
      <c r="K97" s="20"/>
    </row>
    <row r="98" spans="1:11" ht="12.75">
      <c r="A98" t="s">
        <v>91</v>
      </c>
      <c r="B98" s="10">
        <f>SUM(B92:B97)</f>
        <v>3202486.0999999996</v>
      </c>
      <c r="C98" s="10">
        <f>SUM(C92:C97)</f>
        <v>773349.73</v>
      </c>
      <c r="D98" s="10">
        <f>SUM(D92:D97)</f>
        <v>3975835.83</v>
      </c>
      <c r="E98" s="20"/>
      <c r="F98" s="77"/>
      <c r="G98" s="77"/>
      <c r="H98" s="20"/>
      <c r="I98" s="20"/>
      <c r="J98" s="20"/>
      <c r="K98" s="20"/>
    </row>
    <row r="99" spans="1:11" ht="12.75">
      <c r="A99" t="s">
        <v>92</v>
      </c>
      <c r="B99" s="10">
        <v>-3223226</v>
      </c>
      <c r="C99" s="10">
        <v>-2500000</v>
      </c>
      <c r="D99" s="35">
        <f t="shared" si="3"/>
        <v>-5723226</v>
      </c>
      <c r="E99" s="20" t="s">
        <v>99</v>
      </c>
      <c r="F99" s="77"/>
      <c r="G99" s="77"/>
      <c r="H99" s="20"/>
      <c r="I99" s="20"/>
      <c r="J99" s="20"/>
      <c r="K99" s="20"/>
    </row>
    <row r="100" spans="1:11" ht="12.75">
      <c r="A100" t="s">
        <v>96</v>
      </c>
      <c r="B100" s="10">
        <f>-B92</f>
        <v>-3893851.92</v>
      </c>
      <c r="C100" s="10">
        <f>-C92</f>
        <v>-93759.51</v>
      </c>
      <c r="D100" s="35">
        <f t="shared" si="3"/>
        <v>-3987611.4299999997</v>
      </c>
      <c r="E100" s="20" t="s">
        <v>99</v>
      </c>
      <c r="F100" s="77"/>
      <c r="G100" s="77"/>
      <c r="H100" s="20"/>
      <c r="I100" s="20"/>
      <c r="J100" s="20"/>
      <c r="K100" s="20"/>
    </row>
    <row r="101" spans="1:11" ht="12.75">
      <c r="A101" t="s">
        <v>14</v>
      </c>
      <c r="B101" s="10">
        <f>20740.54</f>
        <v>20740.54</v>
      </c>
      <c r="C101" s="10">
        <f>1726650.35</f>
        <v>1726650.35</v>
      </c>
      <c r="D101" s="17">
        <f t="shared" si="3"/>
        <v>1747390.8900000001</v>
      </c>
      <c r="E101" s="20" t="s">
        <v>99</v>
      </c>
      <c r="F101" s="77"/>
      <c r="G101" s="77"/>
      <c r="H101" s="20"/>
      <c r="I101" s="20"/>
      <c r="J101" s="20"/>
      <c r="K101" s="20"/>
    </row>
    <row r="102" spans="1:11" ht="13.5" thickBot="1">
      <c r="A102" t="s">
        <v>93</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71</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417</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75</v>
      </c>
      <c r="D6" s="195" t="s">
        <v>40</v>
      </c>
      <c r="E6" s="195" t="s">
        <v>38</v>
      </c>
      <c r="F6" s="195" t="s">
        <v>66</v>
      </c>
      <c r="G6" s="191"/>
      <c r="H6" s="191" t="s">
        <v>322</v>
      </c>
      <c r="I6" s="191"/>
      <c r="J6" s="196" t="s">
        <v>323</v>
      </c>
    </row>
    <row r="7" spans="3:10" s="187" customFormat="1" ht="15.75" customHeight="1">
      <c r="C7" s="197" t="s">
        <v>4</v>
      </c>
      <c r="D7" s="198" t="s">
        <v>4</v>
      </c>
      <c r="E7" s="198" t="s">
        <v>4</v>
      </c>
      <c r="F7" s="199" t="s">
        <v>4</v>
      </c>
      <c r="G7" s="190"/>
      <c r="H7" s="191" t="s">
        <v>4</v>
      </c>
      <c r="I7" s="191"/>
      <c r="J7" s="200" t="s">
        <v>4</v>
      </c>
    </row>
    <row r="8" spans="3:10" s="187" customFormat="1" ht="15.75" customHeight="1">
      <c r="C8" s="197"/>
      <c r="D8" s="198"/>
      <c r="E8" s="198"/>
      <c r="F8" s="199"/>
      <c r="G8" s="190"/>
      <c r="H8" s="197"/>
      <c r="I8" s="191"/>
      <c r="J8" s="200"/>
    </row>
    <row r="9" spans="1:10" s="187" customFormat="1" ht="15.75" customHeight="1">
      <c r="A9" s="201" t="s">
        <v>418</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324</v>
      </c>
      <c r="C11" s="188"/>
      <c r="D11" s="188"/>
      <c r="E11" s="188"/>
      <c r="F11" s="204"/>
      <c r="G11" s="191"/>
      <c r="H11" s="188"/>
      <c r="I11" s="191"/>
      <c r="J11" s="203"/>
      <c r="K11" s="188"/>
    </row>
    <row r="12" spans="1:11" s="187" customFormat="1" ht="15.75" customHeight="1">
      <c r="A12" s="187" t="s">
        <v>325</v>
      </c>
      <c r="C12" s="188">
        <v>645000</v>
      </c>
      <c r="D12" s="188">
        <v>0</v>
      </c>
      <c r="E12" s="188">
        <v>0</v>
      </c>
      <c r="F12" s="204">
        <f>SUM(C12:E12)</f>
        <v>645000</v>
      </c>
      <c r="G12" s="191"/>
      <c r="H12" s="197"/>
      <c r="I12" s="191"/>
      <c r="J12" s="205">
        <f>SUM(F12:I12)</f>
        <v>645000</v>
      </c>
      <c r="K12" s="188"/>
    </row>
    <row r="13" spans="1:11" s="187" customFormat="1" ht="15.75" customHeight="1">
      <c r="A13" s="187" t="s">
        <v>326</v>
      </c>
      <c r="C13" s="188">
        <v>0</v>
      </c>
      <c r="D13" s="188">
        <v>0</v>
      </c>
      <c r="E13" s="188">
        <v>0</v>
      </c>
      <c r="F13" s="204">
        <f>SUM(C13:E13)</f>
        <v>0</v>
      </c>
      <c r="G13" s="191"/>
      <c r="H13" s="206"/>
      <c r="I13" s="191"/>
      <c r="J13" s="205">
        <f>SUM(F13:I13)</f>
        <v>0</v>
      </c>
      <c r="K13" s="188"/>
    </row>
    <row r="14" spans="1:11" s="187" customFormat="1" ht="15.75" customHeight="1">
      <c r="A14" s="187" t="s">
        <v>327</v>
      </c>
      <c r="C14" s="188">
        <v>0</v>
      </c>
      <c r="D14" s="188">
        <v>0</v>
      </c>
      <c r="E14" s="188">
        <v>0</v>
      </c>
      <c r="F14" s="204">
        <f>SUM(C14:E14)</f>
        <v>0</v>
      </c>
      <c r="G14" s="191"/>
      <c r="H14" s="206"/>
      <c r="I14" s="191"/>
      <c r="J14" s="205">
        <f>SUM(F14:I14)</f>
        <v>0</v>
      </c>
      <c r="K14" s="188"/>
    </row>
    <row r="15" spans="1:11" s="187" customFormat="1" ht="15.75" customHeight="1">
      <c r="A15" s="187" t="s">
        <v>328</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329</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330</v>
      </c>
      <c r="C19" s="188"/>
      <c r="D19" s="188"/>
      <c r="E19" s="188"/>
      <c r="F19" s="209"/>
      <c r="G19" s="191"/>
      <c r="H19" s="206"/>
      <c r="I19" s="191"/>
      <c r="J19" s="205"/>
      <c r="K19" s="188"/>
    </row>
    <row r="20" spans="1:11" s="187" customFormat="1" ht="15.75" customHeight="1">
      <c r="A20" s="187" t="s">
        <v>325</v>
      </c>
      <c r="C20" s="188">
        <v>0</v>
      </c>
      <c r="D20" s="188">
        <v>0</v>
      </c>
      <c r="E20" s="188">
        <v>0</v>
      </c>
      <c r="F20" s="204">
        <f>SUM(C20:E20)</f>
        <v>0</v>
      </c>
      <c r="G20" s="191"/>
      <c r="H20" s="206"/>
      <c r="I20" s="191"/>
      <c r="J20" s="205">
        <f>SUM(F20:I20)</f>
        <v>0</v>
      </c>
      <c r="K20" s="188"/>
    </row>
    <row r="21" spans="1:11" s="187" customFormat="1" ht="15.75" customHeight="1">
      <c r="A21" s="187" t="s">
        <v>331</v>
      </c>
      <c r="C21" s="188">
        <v>0</v>
      </c>
      <c r="D21" s="188">
        <v>0</v>
      </c>
      <c r="E21" s="188">
        <v>0</v>
      </c>
      <c r="F21" s="204">
        <f>SUM(C21:E21)</f>
        <v>0</v>
      </c>
      <c r="G21" s="191"/>
      <c r="H21" s="206"/>
      <c r="I21" s="191"/>
      <c r="J21" s="205">
        <f>SUM(F21:I21)</f>
        <v>0</v>
      </c>
      <c r="K21" s="188"/>
    </row>
    <row r="22" spans="1:11" s="187" customFormat="1" ht="15.75" customHeight="1">
      <c r="A22" s="187" t="s">
        <v>332</v>
      </c>
      <c r="C22" s="188">
        <v>0</v>
      </c>
      <c r="D22" s="188">
        <v>0</v>
      </c>
      <c r="E22" s="188">
        <v>0</v>
      </c>
      <c r="F22" s="204">
        <f>SUM(C22:E22)</f>
        <v>0</v>
      </c>
      <c r="G22" s="191"/>
      <c r="H22" s="206"/>
      <c r="I22" s="191"/>
      <c r="J22" s="205">
        <f>SUM(F22:I22)</f>
        <v>0</v>
      </c>
      <c r="K22" s="188"/>
    </row>
    <row r="23" spans="1:11" s="187" customFormat="1" ht="15.75" customHeight="1">
      <c r="A23" s="187" t="s">
        <v>333</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329</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334</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335</v>
      </c>
      <c r="F32" s="223"/>
      <c r="J32" s="217"/>
    </row>
    <row r="33" spans="1:10" s="187" customFormat="1" ht="16.5" thickBot="1">
      <c r="A33" s="187" t="s">
        <v>419</v>
      </c>
      <c r="C33" s="219">
        <v>0</v>
      </c>
      <c r="D33" s="219">
        <v>0</v>
      </c>
      <c r="E33" s="219">
        <v>0</v>
      </c>
      <c r="F33" s="220">
        <f>SUM(C33:E33)</f>
        <v>0</v>
      </c>
      <c r="H33" s="188"/>
      <c r="J33" s="221">
        <f>SUM(F33:I33)</f>
        <v>0</v>
      </c>
    </row>
    <row r="34" spans="1:10" ht="16.5" thickBot="1" thickTop="1">
      <c r="A34" s="187"/>
      <c r="F34" s="223"/>
      <c r="J34" s="224"/>
    </row>
    <row r="36" spans="1:10" ht="15.75">
      <c r="A36" s="201" t="s">
        <v>420</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324</v>
      </c>
      <c r="B38" s="187"/>
      <c r="C38" s="188"/>
      <c r="D38" s="188"/>
      <c r="E38" s="188"/>
      <c r="F38" s="204"/>
      <c r="G38" s="191"/>
      <c r="H38" s="188"/>
      <c r="I38" s="191"/>
      <c r="J38" s="203"/>
    </row>
    <row r="39" spans="1:10" ht="15.75">
      <c r="A39" s="187" t="s">
        <v>325</v>
      </c>
      <c r="B39" s="187"/>
      <c r="C39" s="188">
        <v>425000</v>
      </c>
      <c r="D39" s="188">
        <v>0</v>
      </c>
      <c r="E39" s="188">
        <v>0</v>
      </c>
      <c r="F39" s="204">
        <f>SUM(C39:E39)</f>
        <v>425000</v>
      </c>
      <c r="G39" s="191"/>
      <c r="H39" s="197"/>
      <c r="I39" s="191"/>
      <c r="J39" s="205">
        <f>SUM(F39:I39)</f>
        <v>425000</v>
      </c>
    </row>
    <row r="40" spans="1:10" ht="15.75">
      <c r="A40" s="187" t="s">
        <v>326</v>
      </c>
      <c r="B40" s="187"/>
      <c r="C40" s="188">
        <v>0</v>
      </c>
      <c r="D40" s="188">
        <v>0</v>
      </c>
      <c r="E40" s="188">
        <v>0</v>
      </c>
      <c r="F40" s="204">
        <f>SUM(C40:E40)</f>
        <v>0</v>
      </c>
      <c r="G40" s="191"/>
      <c r="H40" s="206"/>
      <c r="I40" s="191"/>
      <c r="J40" s="205">
        <f>SUM(F40:I40)</f>
        <v>0</v>
      </c>
    </row>
    <row r="41" spans="1:10" ht="15.75">
      <c r="A41" s="187" t="s">
        <v>327</v>
      </c>
      <c r="B41" s="187"/>
      <c r="C41" s="188">
        <v>0</v>
      </c>
      <c r="D41" s="188">
        <v>0</v>
      </c>
      <c r="E41" s="188">
        <v>0</v>
      </c>
      <c r="F41" s="204">
        <f>SUM(C41:E41)</f>
        <v>0</v>
      </c>
      <c r="G41" s="191"/>
      <c r="H41" s="206"/>
      <c r="I41" s="191"/>
      <c r="J41" s="205">
        <f>SUM(F41:I41)</f>
        <v>0</v>
      </c>
    </row>
    <row r="42" spans="1:10" ht="15.75">
      <c r="A42" s="187" t="s">
        <v>328</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329</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330</v>
      </c>
      <c r="C46" s="188"/>
      <c r="D46" s="188"/>
      <c r="E46" s="188"/>
      <c r="F46" s="209"/>
      <c r="G46" s="191"/>
      <c r="H46" s="206"/>
      <c r="I46" s="191"/>
      <c r="J46" s="205"/>
    </row>
    <row r="47" spans="1:10" s="187" customFormat="1" ht="15.75" customHeight="1">
      <c r="A47" s="187" t="s">
        <v>325</v>
      </c>
      <c r="C47" s="188">
        <v>8500</v>
      </c>
      <c r="D47" s="188">
        <v>0</v>
      </c>
      <c r="E47" s="188">
        <v>0</v>
      </c>
      <c r="F47" s="204">
        <f>SUM(C47:E47)</f>
        <v>8500</v>
      </c>
      <c r="G47" s="191"/>
      <c r="H47" s="206"/>
      <c r="I47" s="191"/>
      <c r="J47" s="205">
        <f>SUM(F47:I47)</f>
        <v>8500</v>
      </c>
    </row>
    <row r="48" spans="1:11" s="187" customFormat="1" ht="15.75" customHeight="1">
      <c r="A48" s="187" t="s">
        <v>331</v>
      </c>
      <c r="C48" s="188">
        <v>8500</v>
      </c>
      <c r="D48" s="188">
        <v>0</v>
      </c>
      <c r="E48" s="188">
        <v>0</v>
      </c>
      <c r="F48" s="204">
        <f>SUM(C48:E48)</f>
        <v>8500</v>
      </c>
      <c r="G48" s="191"/>
      <c r="H48" s="206"/>
      <c r="I48" s="191"/>
      <c r="J48" s="205">
        <f>SUM(F48:I48)</f>
        <v>8500</v>
      </c>
      <c r="K48" s="188"/>
    </row>
    <row r="49" spans="1:11" s="187" customFormat="1" ht="15.75" customHeight="1">
      <c r="A49" s="187" t="s">
        <v>332</v>
      </c>
      <c r="C49" s="188">
        <v>0</v>
      </c>
      <c r="D49" s="188">
        <v>0</v>
      </c>
      <c r="E49" s="188">
        <v>0</v>
      </c>
      <c r="F49" s="204">
        <f>SUM(C49:E49)</f>
        <v>0</v>
      </c>
      <c r="G49" s="191"/>
      <c r="H49" s="206"/>
      <c r="I49" s="191"/>
      <c r="J49" s="205">
        <f>SUM(F49:I49)</f>
        <v>0</v>
      </c>
      <c r="K49" s="188"/>
    </row>
    <row r="50" spans="1:11" s="187" customFormat="1" ht="15.75" customHeight="1">
      <c r="A50" s="187" t="s">
        <v>333</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329</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334</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335</v>
      </c>
      <c r="B59"/>
      <c r="C59" s="48"/>
      <c r="D59"/>
      <c r="E59"/>
      <c r="F59" s="223"/>
      <c r="G59"/>
      <c r="H59" s="25"/>
      <c r="I59"/>
      <c r="J59" s="217"/>
      <c r="K59" s="188"/>
    </row>
    <row r="60" spans="1:11" s="187" customFormat="1" ht="15.75" customHeight="1" thickBot="1">
      <c r="A60" s="187" t="s">
        <v>419</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421</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324</v>
      </c>
      <c r="C65" s="188"/>
      <c r="D65" s="188"/>
      <c r="E65" s="188"/>
      <c r="F65" s="204"/>
      <c r="G65" s="191"/>
      <c r="H65" s="188"/>
      <c r="I65" s="191"/>
      <c r="J65" s="226"/>
    </row>
    <row r="66" spans="1:10" ht="15.75">
      <c r="A66" s="187" t="s">
        <v>325</v>
      </c>
      <c r="B66" s="187"/>
      <c r="C66" s="188">
        <v>97879</v>
      </c>
      <c r="D66" s="188">
        <v>0</v>
      </c>
      <c r="E66" s="188">
        <v>0</v>
      </c>
      <c r="F66" s="204">
        <f>SUM(C66:E66)</f>
        <v>97879</v>
      </c>
      <c r="G66" s="227"/>
      <c r="H66" s="273"/>
      <c r="I66" s="191"/>
      <c r="J66" s="205">
        <f>SUM(F66:I66)</f>
        <v>97879</v>
      </c>
    </row>
    <row r="67" spans="1:10" s="187" customFormat="1" ht="15.75" customHeight="1">
      <c r="A67" s="187" t="s">
        <v>326</v>
      </c>
      <c r="C67" s="188">
        <v>7478</v>
      </c>
      <c r="D67" s="188">
        <v>0</v>
      </c>
      <c r="E67" s="188">
        <v>0</v>
      </c>
      <c r="F67" s="204">
        <f>SUM(C67:E67)</f>
        <v>7478</v>
      </c>
      <c r="G67" s="191"/>
      <c r="H67" s="209"/>
      <c r="I67" s="191"/>
      <c r="J67" s="205">
        <f>SUM(F67:I67)</f>
        <v>7478</v>
      </c>
    </row>
    <row r="68" spans="1:10" s="187" customFormat="1" ht="15.75" customHeight="1">
      <c r="A68" s="187" t="s">
        <v>336</v>
      </c>
      <c r="C68" s="188"/>
      <c r="D68" s="188"/>
      <c r="E68" s="188"/>
      <c r="F68" s="204"/>
      <c r="G68" s="191"/>
      <c r="H68" s="209"/>
      <c r="I68" s="191"/>
      <c r="J68" s="205"/>
    </row>
    <row r="69" spans="1:11" s="187" customFormat="1" ht="15.75" customHeight="1">
      <c r="A69" s="187" t="s">
        <v>337</v>
      </c>
      <c r="C69" s="188">
        <v>0</v>
      </c>
      <c r="D69" s="188">
        <v>0</v>
      </c>
      <c r="E69" s="188">
        <v>0</v>
      </c>
      <c r="F69" s="204">
        <f>SUM(C69:E69)</f>
        <v>0</v>
      </c>
      <c r="G69" s="191"/>
      <c r="H69" s="209"/>
      <c r="I69" s="191"/>
      <c r="J69" s="205">
        <f>SUM(F69:I69)</f>
        <v>0</v>
      </c>
      <c r="K69" s="188"/>
    </row>
    <row r="70" spans="1:11" s="187" customFormat="1" ht="15.75" customHeight="1">
      <c r="A70" s="187" t="s">
        <v>327</v>
      </c>
      <c r="C70" s="188">
        <v>0</v>
      </c>
      <c r="D70" s="188">
        <v>0</v>
      </c>
      <c r="E70" s="188">
        <v>0</v>
      </c>
      <c r="F70" s="204">
        <f>SUM(C70:E70)</f>
        <v>0</v>
      </c>
      <c r="G70" s="191"/>
      <c r="H70" s="209"/>
      <c r="I70" s="191"/>
      <c r="J70" s="205">
        <f>SUM(F70:I70)</f>
        <v>0</v>
      </c>
      <c r="K70" s="188"/>
    </row>
    <row r="71" spans="1:11" s="187" customFormat="1" ht="15.75" customHeight="1">
      <c r="A71" s="187" t="s">
        <v>333</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329</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330</v>
      </c>
      <c r="C75" s="188"/>
      <c r="D75" s="188"/>
      <c r="E75" s="188"/>
      <c r="F75" s="209"/>
      <c r="G75" s="191"/>
      <c r="H75" s="209"/>
      <c r="I75" s="191"/>
      <c r="J75" s="205"/>
      <c r="K75" s="188"/>
    </row>
    <row r="76" spans="1:11" s="187" customFormat="1" ht="15.75" customHeight="1">
      <c r="A76" s="187" t="s">
        <v>325</v>
      </c>
      <c r="C76" s="188">
        <v>28541.11</v>
      </c>
      <c r="D76" s="188">
        <v>0</v>
      </c>
      <c r="E76" s="188">
        <v>0</v>
      </c>
      <c r="F76" s="204">
        <v>28541.11</v>
      </c>
      <c r="G76" s="227"/>
      <c r="H76" s="209"/>
      <c r="I76" s="191"/>
      <c r="J76" s="205">
        <f>SUM(F76:I76)</f>
        <v>28541.11</v>
      </c>
      <c r="K76" s="188"/>
    </row>
    <row r="77" spans="1:11" s="187" customFormat="1" ht="15.75" customHeight="1">
      <c r="A77" s="187" t="s">
        <v>331</v>
      </c>
      <c r="C77" s="188">
        <v>7226.11</v>
      </c>
      <c r="D77" s="188">
        <v>0</v>
      </c>
      <c r="E77" s="188">
        <v>0</v>
      </c>
      <c r="F77" s="204">
        <f>SUM(C77:E77)</f>
        <v>7226.11</v>
      </c>
      <c r="G77" s="191"/>
      <c r="H77" s="209"/>
      <c r="I77" s="191"/>
      <c r="J77" s="205">
        <f>SUM(F77:I77)</f>
        <v>7226.11</v>
      </c>
      <c r="K77" s="188"/>
    </row>
    <row r="78" spans="1:11" s="187" customFormat="1" ht="15.75" customHeight="1">
      <c r="A78" s="187" t="s">
        <v>336</v>
      </c>
      <c r="C78" s="188"/>
      <c r="D78" s="188"/>
      <c r="E78" s="188"/>
      <c r="F78" s="204"/>
      <c r="G78" s="191"/>
      <c r="H78" s="209"/>
      <c r="I78" s="191"/>
      <c r="J78" s="205"/>
      <c r="K78" s="188"/>
    </row>
    <row r="79" spans="1:11" s="187" customFormat="1" ht="15.75" customHeight="1">
      <c r="A79" s="187" t="s">
        <v>337</v>
      </c>
      <c r="C79" s="188">
        <v>0</v>
      </c>
      <c r="D79" s="188">
        <v>0</v>
      </c>
      <c r="E79" s="188">
        <v>0</v>
      </c>
      <c r="F79" s="204">
        <f>SUM(C79:E79)</f>
        <v>0</v>
      </c>
      <c r="G79" s="191"/>
      <c r="H79" s="209"/>
      <c r="I79" s="191"/>
      <c r="J79" s="205">
        <f>SUM(F79:I79)</f>
        <v>0</v>
      </c>
      <c r="K79" s="188"/>
    </row>
    <row r="80" spans="1:11" s="187" customFormat="1" ht="15.75" customHeight="1">
      <c r="A80" s="187" t="s">
        <v>332</v>
      </c>
      <c r="C80" s="188">
        <v>0</v>
      </c>
      <c r="D80" s="188">
        <v>0</v>
      </c>
      <c r="E80" s="188">
        <v>0</v>
      </c>
      <c r="F80" s="204">
        <f>SUM(C80:E80)</f>
        <v>0</v>
      </c>
      <c r="G80" s="191"/>
      <c r="H80" s="209"/>
      <c r="I80" s="191"/>
      <c r="J80" s="205">
        <f>SUM(F80:I80)</f>
        <v>0</v>
      </c>
      <c r="K80" s="188"/>
    </row>
    <row r="81" spans="1:11" s="187" customFormat="1" ht="15.75" customHeight="1">
      <c r="A81" s="187" t="s">
        <v>333</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329</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334</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335</v>
      </c>
      <c r="F90" s="223"/>
      <c r="H90" s="128"/>
      <c r="J90" s="217"/>
      <c r="K90" s="48"/>
    </row>
    <row r="91" spans="1:11" ht="16.5" thickBot="1">
      <c r="A91" s="187" t="s">
        <v>419</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422</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324</v>
      </c>
      <c r="C95" s="188"/>
      <c r="D95" s="188"/>
      <c r="E95" s="188"/>
      <c r="F95" s="204"/>
      <c r="G95" s="191"/>
      <c r="H95" s="204"/>
      <c r="I95" s="191"/>
      <c r="J95" s="226"/>
    </row>
    <row r="96" spans="1:10" ht="15.75">
      <c r="A96" s="187" t="s">
        <v>325</v>
      </c>
      <c r="B96" s="187"/>
      <c r="C96" s="188">
        <v>36299</v>
      </c>
      <c r="D96" s="188">
        <v>0</v>
      </c>
      <c r="E96" s="188">
        <v>0</v>
      </c>
      <c r="F96" s="204">
        <f>SUM(C96:E96)</f>
        <v>36299</v>
      </c>
      <c r="G96" s="191"/>
      <c r="H96" s="273"/>
      <c r="I96" s="191"/>
      <c r="J96" s="205">
        <f>SUM(F96:I96)</f>
        <v>36299</v>
      </c>
    </row>
    <row r="97" spans="1:10" ht="15.75">
      <c r="A97" s="187" t="s">
        <v>326</v>
      </c>
      <c r="B97" s="187"/>
      <c r="C97" s="188">
        <v>0</v>
      </c>
      <c r="D97" s="188">
        <v>0</v>
      </c>
      <c r="E97" s="188">
        <v>0</v>
      </c>
      <c r="F97" s="204">
        <f>SUM(C97:E97)</f>
        <v>0</v>
      </c>
      <c r="G97" s="191"/>
      <c r="H97" s="209"/>
      <c r="I97" s="191"/>
      <c r="J97" s="205">
        <f>SUM(F97:I97)</f>
        <v>0</v>
      </c>
    </row>
    <row r="98" spans="1:10" s="187" customFormat="1" ht="15.75" customHeight="1">
      <c r="A98" s="187" t="s">
        <v>336</v>
      </c>
      <c r="C98" s="188"/>
      <c r="D98" s="188"/>
      <c r="E98" s="188"/>
      <c r="F98" s="204"/>
      <c r="G98" s="191"/>
      <c r="H98" s="209"/>
      <c r="I98" s="191"/>
      <c r="J98" s="205"/>
    </row>
    <row r="99" spans="1:10" s="187" customFormat="1" ht="15.75" customHeight="1">
      <c r="A99" s="187" t="s">
        <v>337</v>
      </c>
      <c r="C99" s="188">
        <v>0</v>
      </c>
      <c r="D99" s="188">
        <v>0</v>
      </c>
      <c r="E99" s="188">
        <v>0</v>
      </c>
      <c r="F99" s="204">
        <f>SUM(C99:E99)</f>
        <v>0</v>
      </c>
      <c r="G99" s="191"/>
      <c r="H99" s="209"/>
      <c r="I99" s="191"/>
      <c r="J99" s="205">
        <f>SUM(F99:I99)</f>
        <v>0</v>
      </c>
    </row>
    <row r="100" spans="1:11" s="187" customFormat="1" ht="15.75" customHeight="1">
      <c r="A100" s="187" t="s">
        <v>327</v>
      </c>
      <c r="C100" s="188">
        <v>0</v>
      </c>
      <c r="D100" s="188">
        <v>0</v>
      </c>
      <c r="E100" s="188">
        <v>0</v>
      </c>
      <c r="F100" s="204">
        <f>SUM(C100:E100)</f>
        <v>0</v>
      </c>
      <c r="G100" s="191"/>
      <c r="H100" s="209"/>
      <c r="I100" s="191"/>
      <c r="J100" s="205">
        <f>SUM(F100:I100)</f>
        <v>0</v>
      </c>
      <c r="K100" s="188"/>
    </row>
    <row r="101" spans="1:11" s="187" customFormat="1" ht="15.75" customHeight="1">
      <c r="A101" s="187" t="s">
        <v>333</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329</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330</v>
      </c>
      <c r="C105" s="188"/>
      <c r="D105" s="188"/>
      <c r="E105" s="188"/>
      <c r="F105" s="209"/>
      <c r="G105" s="191"/>
      <c r="H105" s="209"/>
      <c r="I105" s="191"/>
      <c r="J105" s="205"/>
      <c r="K105" s="188"/>
    </row>
    <row r="106" spans="1:11" s="187" customFormat="1" ht="15.75" customHeight="1">
      <c r="A106" s="187" t="s">
        <v>325</v>
      </c>
      <c r="C106" s="188">
        <v>15294</v>
      </c>
      <c r="D106" s="188">
        <v>0</v>
      </c>
      <c r="E106" s="188">
        <v>0</v>
      </c>
      <c r="F106" s="204">
        <f>SUM(C106:E106)</f>
        <v>15294</v>
      </c>
      <c r="G106" s="191"/>
      <c r="H106" s="209"/>
      <c r="I106" s="191"/>
      <c r="J106" s="205">
        <f>SUM(F106:I106)</f>
        <v>15294</v>
      </c>
      <c r="K106" s="188"/>
    </row>
    <row r="107" spans="1:11" s="187" customFormat="1" ht="15.75" customHeight="1">
      <c r="A107" s="187" t="s">
        <v>331</v>
      </c>
      <c r="C107" s="188">
        <v>2902.69</v>
      </c>
      <c r="D107" s="188">
        <v>0</v>
      </c>
      <c r="E107" s="188">
        <v>0</v>
      </c>
      <c r="F107" s="204">
        <f>SUM(C107:E107)</f>
        <v>2902.69</v>
      </c>
      <c r="G107" s="191"/>
      <c r="H107" s="209"/>
      <c r="I107" s="191"/>
      <c r="J107" s="205">
        <f>SUM(F107:I107)</f>
        <v>2902.69</v>
      </c>
      <c r="K107" s="188"/>
    </row>
    <row r="108" spans="1:11" s="187" customFormat="1" ht="15.75" customHeight="1">
      <c r="A108" s="187" t="s">
        <v>336</v>
      </c>
      <c r="C108" s="188"/>
      <c r="D108" s="188"/>
      <c r="E108" s="188"/>
      <c r="F108" s="204"/>
      <c r="G108" s="191"/>
      <c r="H108" s="209"/>
      <c r="I108" s="191"/>
      <c r="J108" s="205"/>
      <c r="K108" s="188"/>
    </row>
    <row r="109" spans="1:11" s="187" customFormat="1" ht="15.75" customHeight="1">
      <c r="A109" s="187" t="s">
        <v>337</v>
      </c>
      <c r="C109" s="188">
        <v>0</v>
      </c>
      <c r="D109" s="188">
        <v>0</v>
      </c>
      <c r="E109" s="188">
        <v>0</v>
      </c>
      <c r="F109" s="204">
        <f>SUM(C109:E109)</f>
        <v>0</v>
      </c>
      <c r="G109" s="191"/>
      <c r="H109" s="209"/>
      <c r="I109" s="191"/>
      <c r="J109" s="205">
        <f>SUM(F109:I109)</f>
        <v>0</v>
      </c>
      <c r="K109" s="188"/>
    </row>
    <row r="110" spans="1:11" s="187" customFormat="1" ht="15.75" customHeight="1">
      <c r="A110" s="187" t="s">
        <v>332</v>
      </c>
      <c r="C110" s="188">
        <v>0</v>
      </c>
      <c r="D110" s="188">
        <v>0</v>
      </c>
      <c r="E110" s="188">
        <v>0</v>
      </c>
      <c r="F110" s="204">
        <f>SUM(C110:E110)</f>
        <v>0</v>
      </c>
      <c r="G110" s="191"/>
      <c r="H110" s="209"/>
      <c r="I110" s="191"/>
      <c r="J110" s="205">
        <f>SUM(F110:I110)</f>
        <v>0</v>
      </c>
      <c r="K110" s="188"/>
    </row>
    <row r="111" spans="1:11" s="187" customFormat="1" ht="15.75" customHeight="1">
      <c r="A111" s="187" t="s">
        <v>333</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329</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334</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335</v>
      </c>
      <c r="F120" s="223"/>
      <c r="H120" s="128"/>
      <c r="J120" s="217"/>
      <c r="K120" s="48"/>
    </row>
    <row r="121" spans="1:11" ht="16.5" thickBot="1">
      <c r="A121" s="187" t="s">
        <v>419</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338</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324</v>
      </c>
      <c r="B126" s="187"/>
      <c r="C126" s="188"/>
      <c r="D126" s="188"/>
      <c r="E126" s="188"/>
      <c r="F126" s="204"/>
      <c r="G126" s="191"/>
      <c r="H126" s="204"/>
      <c r="I126" s="191"/>
      <c r="J126" s="203"/>
    </row>
    <row r="127" spans="1:10" ht="15.75">
      <c r="A127" s="187" t="s">
        <v>325</v>
      </c>
      <c r="B127" s="187"/>
      <c r="C127" s="188">
        <v>480000</v>
      </c>
      <c r="D127" s="188">
        <v>0</v>
      </c>
      <c r="E127" s="188">
        <v>0</v>
      </c>
      <c r="F127" s="204">
        <f>SUM(C127:E127)</f>
        <v>480000</v>
      </c>
      <c r="G127" s="191"/>
      <c r="H127" s="273"/>
      <c r="I127" s="191"/>
      <c r="J127" s="205">
        <f>SUM(F127:I127)</f>
        <v>480000</v>
      </c>
    </row>
    <row r="128" spans="1:10" s="187" customFormat="1" ht="15.75">
      <c r="A128" s="187" t="s">
        <v>326</v>
      </c>
      <c r="C128" s="188">
        <v>0</v>
      </c>
      <c r="D128" s="188">
        <v>0</v>
      </c>
      <c r="E128" s="188">
        <v>0</v>
      </c>
      <c r="F128" s="204">
        <f>SUM(C128:E128)</f>
        <v>0</v>
      </c>
      <c r="G128" s="191"/>
      <c r="H128" s="209"/>
      <c r="I128" s="191"/>
      <c r="J128" s="205">
        <f>SUM(F128:I128)</f>
        <v>0</v>
      </c>
    </row>
    <row r="129" spans="1:10" ht="15.75">
      <c r="A129" s="187" t="s">
        <v>336</v>
      </c>
      <c r="B129" s="187"/>
      <c r="C129" s="188"/>
      <c r="D129" s="188"/>
      <c r="E129" s="188"/>
      <c r="F129" s="204"/>
      <c r="G129" s="191"/>
      <c r="H129" s="209"/>
      <c r="I129" s="191"/>
      <c r="J129" s="205"/>
    </row>
    <row r="130" spans="1:10" s="187" customFormat="1" ht="15.75" customHeight="1">
      <c r="A130" s="187" t="s">
        <v>337</v>
      </c>
      <c r="C130" s="188">
        <v>0</v>
      </c>
      <c r="D130" s="188">
        <v>0</v>
      </c>
      <c r="E130" s="188">
        <v>0</v>
      </c>
      <c r="F130" s="204">
        <f>SUM(C130:E130)</f>
        <v>0</v>
      </c>
      <c r="G130" s="191"/>
      <c r="H130" s="209"/>
      <c r="I130" s="191"/>
      <c r="J130" s="205">
        <f>SUM(F130:I130)</f>
        <v>0</v>
      </c>
    </row>
    <row r="131" spans="1:10" s="187" customFormat="1" ht="15.75" customHeight="1">
      <c r="A131" s="187" t="s">
        <v>327</v>
      </c>
      <c r="C131" s="188">
        <v>0</v>
      </c>
      <c r="D131" s="188">
        <v>0</v>
      </c>
      <c r="E131" s="188">
        <v>0</v>
      </c>
      <c r="F131" s="204">
        <f>SUM(C131:E131)</f>
        <v>0</v>
      </c>
      <c r="G131" s="191"/>
      <c r="H131" s="209"/>
      <c r="I131" s="191"/>
      <c r="J131" s="205">
        <f>SUM(F131:I131)</f>
        <v>0</v>
      </c>
    </row>
    <row r="132" spans="1:11" s="187" customFormat="1" ht="15.75" customHeight="1">
      <c r="A132" s="187" t="s">
        <v>333</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329</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330</v>
      </c>
      <c r="C136" s="188"/>
      <c r="D136" s="188"/>
      <c r="E136" s="188"/>
      <c r="F136" s="209"/>
      <c r="G136" s="191"/>
      <c r="H136" s="209"/>
      <c r="I136" s="191"/>
      <c r="J136" s="205"/>
      <c r="K136" s="188"/>
    </row>
    <row r="137" spans="1:11" s="187" customFormat="1" ht="15.75" customHeight="1">
      <c r="A137" s="187" t="s">
        <v>325</v>
      </c>
      <c r="C137" s="188">
        <v>284800</v>
      </c>
      <c r="D137" s="188">
        <v>0</v>
      </c>
      <c r="E137" s="188">
        <v>0</v>
      </c>
      <c r="F137" s="204">
        <f>SUM(C137:E137)</f>
        <v>284800</v>
      </c>
      <c r="G137" s="191"/>
      <c r="H137" s="209"/>
      <c r="I137" s="191"/>
      <c r="J137" s="205">
        <f>SUM(F137:I137)</f>
        <v>284800</v>
      </c>
      <c r="K137" s="188"/>
    </row>
    <row r="138" spans="1:11" s="187" customFormat="1" ht="15.75" customHeight="1">
      <c r="A138" s="187" t="s">
        <v>331</v>
      </c>
      <c r="C138" s="188">
        <v>45599</v>
      </c>
      <c r="D138" s="188">
        <v>0</v>
      </c>
      <c r="E138" s="188">
        <v>0</v>
      </c>
      <c r="F138" s="204">
        <f>SUM(C138:E138)</f>
        <v>45599</v>
      </c>
      <c r="G138" s="191"/>
      <c r="H138" s="209"/>
      <c r="I138" s="191"/>
      <c r="J138" s="205">
        <f>SUM(F138:I138)</f>
        <v>45599</v>
      </c>
      <c r="K138" s="188"/>
    </row>
    <row r="139" spans="1:11" s="187" customFormat="1" ht="15.75" customHeight="1">
      <c r="A139" s="187" t="s">
        <v>336</v>
      </c>
      <c r="C139" s="188"/>
      <c r="D139" s="188"/>
      <c r="E139" s="188"/>
      <c r="F139" s="204"/>
      <c r="G139" s="191"/>
      <c r="H139" s="209"/>
      <c r="I139" s="191"/>
      <c r="J139" s="205"/>
      <c r="K139" s="188"/>
    </row>
    <row r="140" spans="1:11" s="187" customFormat="1" ht="15.75" customHeight="1">
      <c r="A140" s="187" t="s">
        <v>337</v>
      </c>
      <c r="C140" s="188">
        <v>0</v>
      </c>
      <c r="D140" s="188">
        <v>0</v>
      </c>
      <c r="E140" s="188">
        <v>0</v>
      </c>
      <c r="F140" s="204">
        <f>SUM(C140:E140)</f>
        <v>0</v>
      </c>
      <c r="G140" s="191"/>
      <c r="H140" s="209"/>
      <c r="I140" s="191"/>
      <c r="J140" s="205">
        <f>SUM(F140:I140)</f>
        <v>0</v>
      </c>
      <c r="K140" s="188"/>
    </row>
    <row r="141" spans="1:11" s="187" customFormat="1" ht="15.75" customHeight="1">
      <c r="A141" s="187" t="s">
        <v>332</v>
      </c>
      <c r="C141" s="188">
        <v>0</v>
      </c>
      <c r="D141" s="188">
        <v>0</v>
      </c>
      <c r="E141" s="188">
        <v>0</v>
      </c>
      <c r="F141" s="204">
        <f>SUM(C141:E141)</f>
        <v>0</v>
      </c>
      <c r="G141" s="191"/>
      <c r="H141" s="209"/>
      <c r="I141" s="191"/>
      <c r="J141" s="205">
        <f>SUM(F141:I141)</f>
        <v>0</v>
      </c>
      <c r="K141" s="188"/>
    </row>
    <row r="142" spans="1:11" s="187" customFormat="1" ht="15.75" customHeight="1">
      <c r="A142" s="187" t="s">
        <v>333</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329</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334</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335</v>
      </c>
      <c r="F151" s="223"/>
      <c r="H151" s="128"/>
      <c r="J151" s="217"/>
      <c r="K151" s="48"/>
    </row>
    <row r="152" spans="1:10" ht="16.5" thickBot="1">
      <c r="A152" s="187" t="s">
        <v>419</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423</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324</v>
      </c>
      <c r="C157" s="188"/>
      <c r="D157" s="188"/>
      <c r="E157" s="188"/>
      <c r="F157" s="204"/>
      <c r="G157" s="191"/>
      <c r="H157" s="204"/>
      <c r="I157" s="191"/>
      <c r="J157" s="203"/>
    </row>
    <row r="158" spans="1:10" s="187" customFormat="1" ht="15.75" customHeight="1">
      <c r="A158" s="187" t="s">
        <v>325</v>
      </c>
      <c r="C158" s="188">
        <v>110309</v>
      </c>
      <c r="D158" s="188">
        <v>20302.17</v>
      </c>
      <c r="E158" s="188">
        <v>0</v>
      </c>
      <c r="F158" s="204">
        <v>130611.17</v>
      </c>
      <c r="G158" s="191"/>
      <c r="H158" s="273"/>
      <c r="I158" s="191"/>
      <c r="J158" s="205">
        <f>SUM(F158:I158)</f>
        <v>130611.17</v>
      </c>
    </row>
    <row r="159" spans="1:11" s="187" customFormat="1" ht="15.75" customHeight="1">
      <c r="A159" s="187" t="s">
        <v>326</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327</v>
      </c>
      <c r="C160" s="188">
        <v>0</v>
      </c>
      <c r="D160" s="188">
        <v>0</v>
      </c>
      <c r="E160" s="188">
        <v>0</v>
      </c>
      <c r="F160" s="204">
        <f>SUM(C160:E160)</f>
        <v>0</v>
      </c>
      <c r="G160" s="191"/>
      <c r="H160" s="209"/>
      <c r="I160" s="191"/>
      <c r="J160" s="205">
        <f>SUM(F160:I160)</f>
        <v>0</v>
      </c>
      <c r="K160" s="188"/>
    </row>
    <row r="161" spans="1:11" s="187" customFormat="1" ht="15.75" customHeight="1">
      <c r="A161" s="187" t="s">
        <v>339</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329</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330</v>
      </c>
      <c r="C165" s="188"/>
      <c r="D165" s="188"/>
      <c r="E165" s="188"/>
      <c r="F165" s="209"/>
      <c r="G165" s="191"/>
      <c r="H165" s="209"/>
      <c r="I165" s="191"/>
      <c r="J165" s="205"/>
      <c r="K165" s="188"/>
    </row>
    <row r="166" spans="1:11" s="187" customFormat="1" ht="15.75" customHeight="1">
      <c r="A166" s="187" t="s">
        <v>325</v>
      </c>
      <c r="C166" s="188">
        <v>49273</v>
      </c>
      <c r="D166" s="188">
        <v>3472</v>
      </c>
      <c r="E166" s="188">
        <v>0</v>
      </c>
      <c r="F166" s="204">
        <f>SUM(C166:E166)</f>
        <v>52745</v>
      </c>
      <c r="G166" s="191"/>
      <c r="H166" s="209"/>
      <c r="I166" s="191"/>
      <c r="J166" s="205">
        <f>SUM(F166:I166)</f>
        <v>52745</v>
      </c>
      <c r="K166" s="188"/>
    </row>
    <row r="167" spans="1:11" s="187" customFormat="1" ht="15.75" customHeight="1">
      <c r="A167" s="187" t="s">
        <v>331</v>
      </c>
      <c r="C167" s="188">
        <v>16974</v>
      </c>
      <c r="D167" s="188">
        <v>2450.14</v>
      </c>
      <c r="E167" s="188">
        <v>0</v>
      </c>
      <c r="F167" s="204">
        <f>SUM(C167:E167)</f>
        <v>19424.14</v>
      </c>
      <c r="G167" s="191"/>
      <c r="H167" s="209"/>
      <c r="I167" s="191"/>
      <c r="J167" s="205">
        <f>SUM(F167:I167)</f>
        <v>19424.14</v>
      </c>
      <c r="K167" s="188"/>
    </row>
    <row r="168" spans="1:11" s="187" customFormat="1" ht="15.75" customHeight="1">
      <c r="A168" s="187" t="s">
        <v>332</v>
      </c>
      <c r="C168" s="188">
        <v>0</v>
      </c>
      <c r="D168" s="188">
        <v>0</v>
      </c>
      <c r="E168" s="188">
        <v>0</v>
      </c>
      <c r="F168" s="204">
        <f>SUM(C168:E168)</f>
        <v>0</v>
      </c>
      <c r="G168" s="191"/>
      <c r="H168" s="209"/>
      <c r="I168" s="191"/>
      <c r="J168" s="205">
        <f>SUM(F168:I168)</f>
        <v>0</v>
      </c>
      <c r="K168" s="188"/>
    </row>
    <row r="169" spans="1:11" s="187" customFormat="1" ht="15.75" customHeight="1">
      <c r="A169" s="187" t="s">
        <v>333</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329</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334</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335</v>
      </c>
      <c r="F178" s="223"/>
      <c r="H178" s="128"/>
      <c r="J178" s="217"/>
      <c r="K178" s="48"/>
    </row>
    <row r="179" spans="1:11" ht="16.5" thickBot="1">
      <c r="A179" s="187" t="s">
        <v>419</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424</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324</v>
      </c>
      <c r="C184" s="188"/>
      <c r="D184" s="188"/>
      <c r="E184" s="188"/>
      <c r="F184" s="204"/>
      <c r="G184" s="191"/>
      <c r="H184" s="204"/>
      <c r="I184" s="191"/>
      <c r="J184" s="203"/>
    </row>
    <row r="185" spans="1:11" ht="15.75">
      <c r="A185" s="187" t="s">
        <v>325</v>
      </c>
      <c r="B185" s="187"/>
      <c r="C185" s="188">
        <v>41438</v>
      </c>
      <c r="D185" s="188">
        <v>0</v>
      </c>
      <c r="E185" s="188">
        <v>0</v>
      </c>
      <c r="F185" s="204">
        <v>41438</v>
      </c>
      <c r="G185" s="191"/>
      <c r="H185" s="273"/>
      <c r="I185" s="191"/>
      <c r="J185" s="205">
        <f>SUM(F185:I185)</f>
        <v>41438</v>
      </c>
      <c r="K185" s="187"/>
    </row>
    <row r="186" spans="1:11" ht="15.75">
      <c r="A186" s="187" t="s">
        <v>326</v>
      </c>
      <c r="B186" s="187"/>
      <c r="C186" s="188">
        <v>256187.9</v>
      </c>
      <c r="D186" s="188">
        <v>0</v>
      </c>
      <c r="E186" s="188">
        <v>0</v>
      </c>
      <c r="F186" s="204">
        <f>SUM(C186:E186)</f>
        <v>256187.9</v>
      </c>
      <c r="G186" s="191"/>
      <c r="H186" s="209"/>
      <c r="I186" s="191"/>
      <c r="J186" s="205">
        <f>SUM(F186:I186)</f>
        <v>256187.9</v>
      </c>
      <c r="K186" s="188"/>
    </row>
    <row r="187" spans="1:11" ht="15.75">
      <c r="A187" s="187" t="s">
        <v>327</v>
      </c>
      <c r="B187" s="187"/>
      <c r="C187" s="188">
        <v>0</v>
      </c>
      <c r="D187" s="188">
        <v>0</v>
      </c>
      <c r="E187" s="188">
        <v>0</v>
      </c>
      <c r="F187" s="204">
        <f>SUM(C187:E187)</f>
        <v>0</v>
      </c>
      <c r="G187" s="191"/>
      <c r="H187" s="209"/>
      <c r="I187" s="191"/>
      <c r="J187" s="205">
        <f>SUM(F187:I187)</f>
        <v>0</v>
      </c>
      <c r="K187" s="188"/>
    </row>
    <row r="188" spans="1:11" ht="15.75">
      <c r="A188" s="187" t="s">
        <v>339</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329</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330</v>
      </c>
      <c r="B192" s="187"/>
      <c r="C192" s="188"/>
      <c r="D192" s="188"/>
      <c r="E192" s="188"/>
      <c r="F192" s="209"/>
      <c r="G192" s="191"/>
      <c r="H192" s="209"/>
      <c r="I192" s="191"/>
      <c r="J192" s="205"/>
      <c r="K192" s="188"/>
    </row>
    <row r="193" spans="1:11" ht="15.75">
      <c r="A193" s="187" t="s">
        <v>325</v>
      </c>
      <c r="B193" s="187"/>
      <c r="C193" s="188">
        <v>34951</v>
      </c>
      <c r="D193" s="188">
        <v>0</v>
      </c>
      <c r="E193" s="188">
        <v>0</v>
      </c>
      <c r="F193" s="204">
        <f>SUM(C193:E193)</f>
        <v>34951</v>
      </c>
      <c r="G193" s="191"/>
      <c r="H193" s="209"/>
      <c r="I193" s="191"/>
      <c r="J193" s="205">
        <f>SUM(F193:I193)</f>
        <v>34951</v>
      </c>
      <c r="K193" s="188"/>
    </row>
    <row r="194" spans="1:11" ht="15.75">
      <c r="A194" s="187" t="s">
        <v>331</v>
      </c>
      <c r="B194" s="187"/>
      <c r="C194" s="188">
        <v>3243.4</v>
      </c>
      <c r="D194" s="188">
        <v>0</v>
      </c>
      <c r="E194" s="188">
        <v>0</v>
      </c>
      <c r="F194" s="204">
        <f>SUM(C194:E194)</f>
        <v>3243.4</v>
      </c>
      <c r="G194" s="191"/>
      <c r="H194" s="209"/>
      <c r="I194" s="191"/>
      <c r="J194" s="205">
        <f>SUM(F194:I194)</f>
        <v>3243.4</v>
      </c>
      <c r="K194" s="188"/>
    </row>
    <row r="195" spans="1:11" ht="15.75">
      <c r="A195" s="187" t="s">
        <v>332</v>
      </c>
      <c r="B195" s="187"/>
      <c r="C195" s="188">
        <v>0</v>
      </c>
      <c r="D195" s="188">
        <v>0</v>
      </c>
      <c r="E195" s="188">
        <v>0</v>
      </c>
      <c r="F195" s="204">
        <f>SUM(C195:E195)</f>
        <v>0</v>
      </c>
      <c r="G195" s="191"/>
      <c r="H195" s="209"/>
      <c r="I195" s="191"/>
      <c r="J195" s="205">
        <f>SUM(F195:I195)</f>
        <v>0</v>
      </c>
      <c r="K195" s="188"/>
    </row>
    <row r="196" spans="1:11" ht="15.75">
      <c r="A196" s="187" t="s">
        <v>333</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329</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334</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335</v>
      </c>
      <c r="F205" s="223"/>
      <c r="H205" s="128"/>
      <c r="J205" s="217"/>
      <c r="K205" s="48"/>
    </row>
    <row r="206" spans="1:11" ht="16.5" thickBot="1">
      <c r="A206" s="187" t="s">
        <v>419</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340</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324</v>
      </c>
      <c r="B210" s="187"/>
      <c r="C210" s="188"/>
      <c r="D210" s="188"/>
      <c r="E210" s="188"/>
      <c r="F210" s="204"/>
      <c r="G210" s="191"/>
      <c r="H210" s="204"/>
      <c r="I210" s="191"/>
      <c r="J210" s="203"/>
      <c r="K210" s="187"/>
    </row>
    <row r="211" spans="1:10" ht="15.75">
      <c r="A211" s="187" t="s">
        <v>325</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326</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336</v>
      </c>
      <c r="B213" s="187"/>
      <c r="C213" s="188">
        <f>C14+C68+C129+C98+C160+C41+C187</f>
        <v>0</v>
      </c>
      <c r="D213" s="188"/>
      <c r="E213" s="188"/>
      <c r="F213" s="204"/>
      <c r="G213" s="191"/>
      <c r="H213" s="209"/>
      <c r="I213" s="191"/>
      <c r="J213" s="205"/>
    </row>
    <row r="214" spans="1:10" ht="15.75">
      <c r="A214" s="187" t="s">
        <v>337</v>
      </c>
      <c r="B214" s="187"/>
      <c r="C214" s="188">
        <f>C15+C69+C130+C99+C161+C42+C188</f>
        <v>0</v>
      </c>
      <c r="D214" s="188">
        <v>0</v>
      </c>
      <c r="E214" s="188">
        <v>0</v>
      </c>
      <c r="F214" s="204">
        <f>SUM(C214:E214)</f>
        <v>0</v>
      </c>
      <c r="G214" s="191"/>
      <c r="H214" s="209"/>
      <c r="I214" s="191"/>
      <c r="J214" s="205">
        <f>SUM(F214:I214)</f>
        <v>0</v>
      </c>
    </row>
    <row r="215" spans="1:10" ht="15.75">
      <c r="A215" s="187" t="s">
        <v>327</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333</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329</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330</v>
      </c>
      <c r="B220" s="187"/>
      <c r="C220" s="188"/>
      <c r="D220" s="188"/>
      <c r="E220" s="188"/>
      <c r="F220" s="209"/>
      <c r="G220" s="191"/>
      <c r="H220" s="209"/>
      <c r="I220" s="191"/>
      <c r="J220" s="205"/>
    </row>
    <row r="221" spans="1:10" ht="15.75">
      <c r="A221" s="187" t="s">
        <v>325</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331</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336</v>
      </c>
      <c r="B223" s="190"/>
      <c r="C223" s="188">
        <f t="shared" si="1"/>
        <v>0</v>
      </c>
      <c r="D223" s="188"/>
      <c r="E223" s="188"/>
      <c r="F223" s="204"/>
      <c r="G223" s="191"/>
      <c r="H223" s="209"/>
      <c r="I223" s="191"/>
      <c r="J223" s="205"/>
    </row>
    <row r="224" spans="1:10" ht="15.75">
      <c r="A224" s="187" t="s">
        <v>337</v>
      </c>
      <c r="B224" s="190"/>
      <c r="C224" s="188">
        <f t="shared" si="1"/>
        <v>0</v>
      </c>
      <c r="D224" s="188">
        <v>0</v>
      </c>
      <c r="E224" s="188">
        <v>0</v>
      </c>
      <c r="F224" s="204">
        <f>SUM(C224:E224)</f>
        <v>0</v>
      </c>
      <c r="G224" s="191"/>
      <c r="H224" s="209"/>
      <c r="I224" s="191"/>
      <c r="J224" s="205">
        <f>SUM(F224:I224)</f>
        <v>0</v>
      </c>
    </row>
    <row r="225" spans="1:10" ht="15.75">
      <c r="A225" s="187" t="s">
        <v>332</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333</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329</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334</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341</v>
      </c>
      <c r="C232" s="236">
        <f>C231-'[1]BS'!C30</f>
        <v>-6414343.41</v>
      </c>
      <c r="D232" s="236">
        <f>D231-'[1]BS'!D30</f>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335</v>
      </c>
      <c r="F235" s="223"/>
      <c r="H235" s="128"/>
      <c r="J235" s="217"/>
    </row>
    <row r="236" spans="1:10" ht="16.5" thickBot="1">
      <c r="A236" s="187" t="s">
        <v>476</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71</v>
      </c>
    </row>
    <row r="2" ht="12.75">
      <c r="A2" s="244" t="s">
        <v>425</v>
      </c>
    </row>
    <row r="3" spans="4:8" ht="12.75">
      <c r="D3" s="130"/>
      <c r="E3" s="130"/>
      <c r="G3" s="454" t="s">
        <v>342</v>
      </c>
      <c r="H3" s="454"/>
    </row>
    <row r="4" spans="3:9" s="39" customFormat="1" ht="12.75">
      <c r="C4" s="39" t="s">
        <v>75</v>
      </c>
      <c r="D4" s="39" t="s">
        <v>40</v>
      </c>
      <c r="E4" s="39" t="s">
        <v>38</v>
      </c>
      <c r="F4" s="39" t="s">
        <v>343</v>
      </c>
      <c r="G4" s="39" t="s">
        <v>344</v>
      </c>
      <c r="H4" s="39" t="s">
        <v>345</v>
      </c>
      <c r="I4" s="246" t="s">
        <v>323</v>
      </c>
    </row>
    <row r="5" s="39" customFormat="1" ht="12.75">
      <c r="I5" s="246"/>
    </row>
    <row r="6" spans="1:9" s="39" customFormat="1" ht="12.75">
      <c r="A6" s="39">
        <v>1</v>
      </c>
      <c r="B6" s="244" t="s">
        <v>346</v>
      </c>
      <c r="H6" s="247"/>
      <c r="I6" s="246"/>
    </row>
    <row r="7" spans="2:9" s="39" customFormat="1" ht="12.75">
      <c r="B7" s="244" t="s">
        <v>347</v>
      </c>
      <c r="C7" s="247">
        <v>3223226</v>
      </c>
      <c r="D7" s="247">
        <v>35000</v>
      </c>
      <c r="E7" s="247">
        <v>9723226</v>
      </c>
      <c r="F7" s="247">
        <f>SUM(C7:E7)</f>
        <v>12981452</v>
      </c>
      <c r="G7" s="247">
        <v>3258226</v>
      </c>
      <c r="H7" s="247"/>
      <c r="I7" s="248">
        <f>F7-G7+H7</f>
        <v>9723226</v>
      </c>
    </row>
    <row r="8" spans="2:9" s="39" customFormat="1" ht="12.75">
      <c r="B8" s="249" t="s">
        <v>348</v>
      </c>
      <c r="C8" s="250">
        <v>0</v>
      </c>
      <c r="D8" s="250">
        <v>0</v>
      </c>
      <c r="E8" s="250">
        <v>0</v>
      </c>
      <c r="F8" s="250">
        <v>0</v>
      </c>
      <c r="I8" s="251">
        <f>F8+G8-H8</f>
        <v>0</v>
      </c>
    </row>
    <row r="9" spans="2:9" s="39" customFormat="1" ht="12.75">
      <c r="B9" s="252"/>
      <c r="C9" s="253"/>
      <c r="D9" s="253"/>
      <c r="E9" s="253"/>
      <c r="F9" s="253"/>
      <c r="I9" s="254"/>
    </row>
    <row r="10" spans="2:9" s="39" customFormat="1" ht="13.5" thickBot="1">
      <c r="B10" s="249" t="s">
        <v>349</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350</v>
      </c>
      <c r="C13" s="253"/>
      <c r="D13" s="253"/>
      <c r="E13" s="253"/>
      <c r="F13" s="253"/>
      <c r="I13" s="254"/>
    </row>
    <row r="14" spans="2:9" s="39" customFormat="1" ht="12.75">
      <c r="B14" s="130" t="s">
        <v>351</v>
      </c>
      <c r="C14" s="253">
        <v>0</v>
      </c>
      <c r="D14" s="253">
        <v>0</v>
      </c>
      <c r="E14" s="253">
        <v>0</v>
      </c>
      <c r="F14" s="253">
        <f>SUM(C14:E14)</f>
        <v>0</v>
      </c>
      <c r="I14" s="254">
        <f>SUM(F14:H14)</f>
        <v>0</v>
      </c>
    </row>
    <row r="15" spans="2:9" s="39" customFormat="1" ht="12.75">
      <c r="B15" s="130" t="s">
        <v>429</v>
      </c>
      <c r="C15" s="253">
        <v>0</v>
      </c>
      <c r="D15" s="253">
        <v>0</v>
      </c>
      <c r="E15" s="253">
        <f>3223226+2500000</f>
        <v>5723226</v>
      </c>
      <c r="F15" s="253">
        <f>SUM(C15:E15)</f>
        <v>5723226</v>
      </c>
      <c r="H15" s="247">
        <v>5723226</v>
      </c>
      <c r="I15" s="254">
        <f>+F15+G15-H15</f>
        <v>0</v>
      </c>
    </row>
    <row r="16" spans="2:9" s="39" customFormat="1" ht="12.75">
      <c r="B16" s="130" t="s">
        <v>352</v>
      </c>
      <c r="C16" s="253">
        <v>0</v>
      </c>
      <c r="D16" s="253">
        <v>0</v>
      </c>
      <c r="E16" s="253">
        <v>200000</v>
      </c>
      <c r="F16" s="253">
        <f>SUM(C16:E16)</f>
        <v>200000</v>
      </c>
      <c r="I16" s="254">
        <f>SUM(F16:H16)</f>
        <v>200000</v>
      </c>
    </row>
    <row r="17" spans="2:9" s="39" customFormat="1" ht="12.75">
      <c r="B17" s="129" t="s">
        <v>348</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349</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426</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427</v>
      </c>
      <c r="C24" s="247"/>
      <c r="F24" s="253"/>
      <c r="I24" s="248"/>
    </row>
    <row r="25" spans="1:9" ht="12.75">
      <c r="A25" s="80"/>
      <c r="B25" s="130" t="s">
        <v>355</v>
      </c>
      <c r="C25" s="131">
        <v>0</v>
      </c>
      <c r="D25" s="131">
        <v>0</v>
      </c>
      <c r="E25" s="131">
        <v>0</v>
      </c>
      <c r="F25" s="131">
        <f>SUM(C25:E25)</f>
        <v>0</v>
      </c>
      <c r="I25" s="245">
        <f>SUM(F25:H25)</f>
        <v>0</v>
      </c>
    </row>
    <row r="26" spans="1:9" ht="12.75">
      <c r="A26" s="80"/>
      <c r="B26" s="130" t="s">
        <v>356</v>
      </c>
      <c r="C26" s="131">
        <v>0</v>
      </c>
      <c r="D26" s="131">
        <v>90000</v>
      </c>
      <c r="E26" s="131">
        <v>0</v>
      </c>
      <c r="F26" s="131">
        <f>SUM(C26:E26)</f>
        <v>90000</v>
      </c>
      <c r="I26" s="245">
        <f>SUM(F26:H26)</f>
        <v>90000</v>
      </c>
    </row>
    <row r="27" spans="1:9" ht="12.75">
      <c r="A27" s="80"/>
      <c r="B27" s="130" t="s">
        <v>428</v>
      </c>
      <c r="C27" s="131">
        <v>0</v>
      </c>
      <c r="D27" s="131">
        <v>0</v>
      </c>
      <c r="E27" s="131">
        <v>0</v>
      </c>
      <c r="F27" s="131">
        <f>SUM(C27:E27)</f>
        <v>0</v>
      </c>
      <c r="I27" s="245">
        <f>SUM(F27:H27)</f>
        <v>0</v>
      </c>
    </row>
    <row r="28" spans="1:9" ht="12.75">
      <c r="A28" s="80"/>
      <c r="C28" s="261"/>
      <c r="D28" s="261"/>
      <c r="E28" s="261"/>
      <c r="F28" s="261"/>
      <c r="I28" s="262"/>
    </row>
    <row r="29" spans="1:9" ht="13.5" thickBot="1">
      <c r="A29" s="80"/>
      <c r="B29" s="130" t="s">
        <v>357</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353</v>
      </c>
      <c r="C32" s="131"/>
      <c r="D32" s="131"/>
      <c r="E32" s="131"/>
      <c r="F32" s="131"/>
      <c r="G32" s="131"/>
      <c r="H32" s="131"/>
      <c r="I32" s="259"/>
    </row>
    <row r="33" spans="1:9" ht="12.75">
      <c r="A33" s="80"/>
      <c r="C33" s="131"/>
      <c r="D33" s="131"/>
      <c r="E33" s="131"/>
      <c r="F33" s="131"/>
      <c r="G33" s="131"/>
      <c r="H33" s="131"/>
      <c r="I33" s="259"/>
    </row>
    <row r="34" spans="1:9" ht="12.75">
      <c r="A34" s="80"/>
      <c r="B34" s="130" t="s">
        <v>354</v>
      </c>
      <c r="C34" s="131"/>
      <c r="D34" s="131"/>
      <c r="E34" s="131"/>
      <c r="F34" s="131"/>
      <c r="G34" s="260"/>
      <c r="H34" s="131"/>
      <c r="I34" s="259"/>
    </row>
    <row r="35" spans="1:9" ht="12.75">
      <c r="A35" s="80"/>
      <c r="B35" s="130" t="s">
        <v>355</v>
      </c>
      <c r="C35" s="131">
        <v>0</v>
      </c>
      <c r="D35" s="131">
        <v>0</v>
      </c>
      <c r="E35" s="131">
        <v>0</v>
      </c>
      <c r="F35" s="131">
        <f>SUM(C35:E35)</f>
        <v>0</v>
      </c>
      <c r="I35" s="245">
        <f>SUM(F35:H35)</f>
        <v>0</v>
      </c>
    </row>
    <row r="36" spans="1:9" ht="12.75">
      <c r="A36" s="80"/>
      <c r="B36" s="130" t="s">
        <v>356</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357</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466</v>
      </c>
      <c r="C41" s="129"/>
      <c r="D41" s="129"/>
      <c r="E41" s="129"/>
      <c r="F41" s="129"/>
      <c r="G41" s="129"/>
      <c r="H41" s="129"/>
      <c r="I41" s="245"/>
    </row>
    <row r="42" spans="1:9" s="39" customFormat="1" ht="12.75">
      <c r="A42" s="80"/>
      <c r="B42" s="130" t="s">
        <v>355</v>
      </c>
      <c r="C42" s="129">
        <v>0</v>
      </c>
      <c r="D42" s="129">
        <v>0</v>
      </c>
      <c r="E42" s="129">
        <v>0</v>
      </c>
      <c r="F42" s="129">
        <f>SUM(C42:E42)</f>
        <v>0</v>
      </c>
      <c r="G42" s="129"/>
      <c r="H42" s="129"/>
      <c r="I42" s="245">
        <f>SUM(F42:H42)</f>
        <v>0</v>
      </c>
    </row>
    <row r="43" spans="1:9" s="39" customFormat="1" ht="12.75">
      <c r="A43" s="80"/>
      <c r="B43" s="130" t="s">
        <v>356</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357</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250</v>
      </c>
      <c r="C48" s="129"/>
      <c r="D48" s="129"/>
      <c r="E48" s="129"/>
      <c r="F48" s="129"/>
      <c r="G48" s="129"/>
      <c r="I48" s="245"/>
    </row>
    <row r="49" spans="1:9" s="39" customFormat="1" ht="12.75">
      <c r="A49" s="80"/>
      <c r="B49" s="130" t="s">
        <v>26</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251</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252</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253</v>
      </c>
      <c r="C55" s="129"/>
      <c r="D55" s="129"/>
      <c r="E55" s="129"/>
      <c r="F55" s="129"/>
      <c r="G55" s="129"/>
      <c r="H55" s="129"/>
      <c r="I55" s="245"/>
    </row>
    <row r="56" spans="1:9" ht="12.75">
      <c r="A56" s="80"/>
      <c r="B56" s="130" t="s">
        <v>41</v>
      </c>
      <c r="C56" s="129">
        <v>4000</v>
      </c>
      <c r="D56" s="129">
        <v>0</v>
      </c>
      <c r="E56" s="129">
        <v>12000</v>
      </c>
      <c r="F56" s="129">
        <f>SUM(C56:E56)</f>
        <v>16000</v>
      </c>
      <c r="I56" s="245">
        <f>SUM(F56:H56)</f>
        <v>16000</v>
      </c>
    </row>
    <row r="57" spans="1:9" ht="12.75">
      <c r="A57" s="80"/>
      <c r="B57" s="130" t="s">
        <v>430</v>
      </c>
      <c r="C57" s="129">
        <f>8758.7-25690.7</f>
        <v>-16932</v>
      </c>
      <c r="D57" s="129">
        <v>0</v>
      </c>
      <c r="E57" s="129">
        <v>0</v>
      </c>
      <c r="F57" s="129">
        <f>SUM(C57:E57)</f>
        <v>-16932</v>
      </c>
      <c r="I57" s="245">
        <f>SUM(F57:H57)</f>
        <v>-16932</v>
      </c>
    </row>
    <row r="58" spans="1:9" ht="12.75">
      <c r="A58" s="80"/>
      <c r="B58" s="130" t="s">
        <v>431</v>
      </c>
      <c r="C58" s="129">
        <f>190100.19-52000-116</f>
        <v>137984.19</v>
      </c>
      <c r="D58" s="129">
        <v>5400</v>
      </c>
      <c r="E58" s="129">
        <v>0</v>
      </c>
      <c r="F58" s="129">
        <f>SUM(C58:E58)</f>
        <v>143384.19</v>
      </c>
      <c r="I58" s="245">
        <f>SUM(F58:H58)</f>
        <v>143384.19</v>
      </c>
    </row>
    <row r="59" spans="1:9" ht="12.75">
      <c r="A59" s="80"/>
      <c r="B59" s="129" t="s">
        <v>254</v>
      </c>
      <c r="C59" s="129">
        <v>53708</v>
      </c>
      <c r="D59" s="129">
        <v>0</v>
      </c>
      <c r="E59" s="129">
        <v>0</v>
      </c>
      <c r="F59" s="129">
        <f>SUM(C59:E59)</f>
        <v>53708</v>
      </c>
      <c r="I59" s="245">
        <f>SUM(F59:H59)</f>
        <v>53708</v>
      </c>
    </row>
    <row r="60" spans="1:9" ht="12.75">
      <c r="A60" s="80"/>
      <c r="B60" s="129" t="s">
        <v>255</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251</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256</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432</v>
      </c>
      <c r="C68" s="131"/>
      <c r="D68" s="131"/>
      <c r="E68" s="131"/>
      <c r="F68" s="131"/>
      <c r="G68" s="131"/>
      <c r="H68" s="131"/>
      <c r="I68" s="259"/>
    </row>
    <row r="69" spans="1:9" ht="12.75">
      <c r="A69" s="80"/>
      <c r="B69" s="130" t="s">
        <v>433</v>
      </c>
      <c r="C69" s="131">
        <v>1203379</v>
      </c>
      <c r="D69" s="131">
        <v>0</v>
      </c>
      <c r="E69" s="131">
        <v>303006</v>
      </c>
      <c r="F69" s="131">
        <f>SUM(C69:E69)</f>
        <v>1506385</v>
      </c>
      <c r="G69" s="131"/>
      <c r="H69" s="131"/>
      <c r="I69" s="259">
        <f>+F69+G69-H69</f>
        <v>1506385</v>
      </c>
    </row>
    <row r="70" spans="1:9" ht="12.75">
      <c r="A70" s="80"/>
      <c r="B70" s="130" t="s">
        <v>475</v>
      </c>
      <c r="C70" s="131">
        <v>25690.7</v>
      </c>
      <c r="D70" s="131">
        <v>0</v>
      </c>
      <c r="E70" s="131">
        <v>1002459.02</v>
      </c>
      <c r="F70" s="131">
        <f>SUM(C70:E70)</f>
        <v>1028149.72</v>
      </c>
      <c r="G70" s="131"/>
      <c r="H70" s="131"/>
      <c r="I70" s="259">
        <f>+F70+G70-H70</f>
        <v>1028149.72</v>
      </c>
    </row>
    <row r="71" spans="1:9" ht="12.75">
      <c r="A71" s="80"/>
      <c r="B71" s="130" t="s">
        <v>434</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358</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257</v>
      </c>
    </row>
    <row r="78" spans="1:2" ht="12.75">
      <c r="A78" s="80"/>
      <c r="B78" s="130" t="s">
        <v>258</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435</v>
      </c>
      <c r="H83" s="39"/>
    </row>
    <row r="84" spans="1:9" ht="12.75">
      <c r="A84" s="80"/>
      <c r="B84" s="130" t="s">
        <v>259</v>
      </c>
      <c r="C84" s="129">
        <f>325877.54</f>
        <v>325877.54</v>
      </c>
      <c r="D84" s="129">
        <v>6150</v>
      </c>
      <c r="E84" s="129">
        <v>91120.04</v>
      </c>
      <c r="F84" s="19">
        <f>SUM(C84:E84)</f>
        <v>423147.57999999996</v>
      </c>
      <c r="G84" s="129">
        <f>53746.29+170044</f>
        <v>223790.29</v>
      </c>
      <c r="I84" s="245">
        <f>+F84-G84+H84</f>
        <v>199357.28999999995</v>
      </c>
    </row>
    <row r="85" spans="1:9" ht="12.75">
      <c r="A85" s="80"/>
      <c r="B85" s="129" t="s">
        <v>260</v>
      </c>
      <c r="C85" s="129">
        <f>369885.03-394646.16</f>
        <v>-24761.129999999946</v>
      </c>
      <c r="D85" s="129">
        <f>12908.33+950+1549+168.8</f>
        <v>15576.13</v>
      </c>
      <c r="E85" s="129">
        <v>39800</v>
      </c>
      <c r="F85" s="19">
        <f>SUM(C85:E85)</f>
        <v>30615.00000000005</v>
      </c>
      <c r="I85" s="245">
        <f>+F85-G85+H85</f>
        <v>30615.00000000005</v>
      </c>
    </row>
    <row r="86" spans="1:9" ht="12.75">
      <c r="A86" s="80"/>
      <c r="B86" s="129" t="s">
        <v>261</v>
      </c>
      <c r="C86" s="129">
        <v>0</v>
      </c>
      <c r="D86" s="129">
        <v>0</v>
      </c>
      <c r="E86" s="129">
        <v>0</v>
      </c>
      <c r="F86" s="19">
        <f>SUM(C86:E86)</f>
        <v>0</v>
      </c>
      <c r="I86" s="245">
        <f>SUM(F86:H86)</f>
        <v>0</v>
      </c>
    </row>
    <row r="87" spans="1:9" ht="12.75">
      <c r="A87" s="80"/>
      <c r="B87" s="130" t="s">
        <v>262</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436</v>
      </c>
      <c r="H91" s="39"/>
    </row>
    <row r="92" spans="1:9" ht="12.75">
      <c r="A92" s="80"/>
      <c r="B92" s="130" t="s">
        <v>259</v>
      </c>
      <c r="C92" s="129">
        <f>52523</f>
        <v>52523</v>
      </c>
      <c r="D92" s="129">
        <v>0</v>
      </c>
      <c r="E92" s="129">
        <v>22659</v>
      </c>
      <c r="F92" s="19">
        <f>SUM(C92:E92)</f>
        <v>75182</v>
      </c>
      <c r="I92" s="245">
        <f>SUM(F92:H92)</f>
        <v>75182</v>
      </c>
    </row>
    <row r="93" spans="1:9" ht="12.75">
      <c r="A93" s="80"/>
      <c r="B93" s="129" t="s">
        <v>260</v>
      </c>
      <c r="C93" s="129">
        <v>0</v>
      </c>
      <c r="D93" s="129">
        <v>3200</v>
      </c>
      <c r="E93" s="129">
        <v>1000</v>
      </c>
      <c r="F93" s="19">
        <f>SUM(C93:E93)</f>
        <v>4200</v>
      </c>
      <c r="I93" s="245">
        <f>SUM(F93:H93)</f>
        <v>4200</v>
      </c>
    </row>
    <row r="94" spans="1:9" ht="12.75">
      <c r="A94" s="80"/>
      <c r="B94" s="129" t="s">
        <v>261</v>
      </c>
      <c r="C94" s="129">
        <v>0</v>
      </c>
      <c r="D94" s="129">
        <v>0</v>
      </c>
      <c r="E94" s="129">
        <v>0</v>
      </c>
      <c r="F94" s="19">
        <f>SUM(C94:E94)</f>
        <v>0</v>
      </c>
      <c r="I94" s="245">
        <f>SUM(F94:H94)</f>
        <v>0</v>
      </c>
    </row>
    <row r="95" spans="1:9" ht="12.75">
      <c r="A95" s="80"/>
      <c r="B95" s="130" t="s">
        <v>262</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258</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359</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437</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360</v>
      </c>
    </row>
    <row r="110" spans="2:9" ht="12.75">
      <c r="B110" s="130" t="s">
        <v>325</v>
      </c>
      <c r="C110" s="129">
        <v>10000</v>
      </c>
      <c r="D110" s="129">
        <v>0</v>
      </c>
      <c r="E110" s="129">
        <v>0</v>
      </c>
      <c r="F110" s="129">
        <f>SUM(C110:E110)</f>
        <v>10000</v>
      </c>
      <c r="I110" s="245">
        <f>SUM(F110:H110)</f>
        <v>10000</v>
      </c>
    </row>
    <row r="111" spans="2:9" ht="12.75">
      <c r="B111" s="130" t="s">
        <v>361</v>
      </c>
      <c r="C111" s="129">
        <v>0</v>
      </c>
      <c r="D111" s="129">
        <v>0</v>
      </c>
      <c r="E111" s="129">
        <v>0</v>
      </c>
      <c r="F111" s="129">
        <f>SUM(C111:E111)</f>
        <v>0</v>
      </c>
      <c r="I111" s="245">
        <f>SUM(F111:H111)</f>
        <v>0</v>
      </c>
    </row>
    <row r="112" spans="2:9" ht="13.5" thickBot="1">
      <c r="B112" s="130" t="s">
        <v>329</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59</v>
      </c>
    </row>
    <row r="116" spans="1:9" ht="12.75">
      <c r="A116" s="80"/>
      <c r="B116" s="129" t="s">
        <v>362</v>
      </c>
      <c r="F116" s="129">
        <f aca="true" t="shared" si="0" ref="F116:F122">SUM(C116:E116)</f>
        <v>0</v>
      </c>
      <c r="I116" s="245">
        <f aca="true" t="shared" si="1" ref="I116:I122">SUM(F116:H116)</f>
        <v>0</v>
      </c>
    </row>
    <row r="117" spans="1:45" ht="12.75">
      <c r="A117" s="80"/>
      <c r="B117" s="129" t="s">
        <v>363</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364</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365</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363</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364</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366</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367</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368</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369</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370</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371</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372</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373</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374</v>
      </c>
    </row>
    <row r="152" ht="12.75">
      <c r="B152" s="269" t="s">
        <v>375</v>
      </c>
    </row>
    <row r="153" spans="2:9" ht="12.75">
      <c r="B153" s="130" t="s">
        <v>459</v>
      </c>
      <c r="C153" s="129">
        <v>0</v>
      </c>
      <c r="D153" s="129">
        <v>-575</v>
      </c>
      <c r="E153" s="129">
        <v>-525</v>
      </c>
      <c r="F153" s="129">
        <f aca="true" t="shared" si="2" ref="F153:F158">SUM(C153:E153)</f>
        <v>-1100</v>
      </c>
      <c r="I153" s="245">
        <f>+F153+G153+H153</f>
        <v>-1100</v>
      </c>
    </row>
    <row r="154" spans="2:9" ht="12.75">
      <c r="B154" s="270" t="s">
        <v>376</v>
      </c>
      <c r="C154" s="129">
        <v>11550</v>
      </c>
      <c r="D154" s="129">
        <v>3500</v>
      </c>
      <c r="E154" s="129">
        <v>3500</v>
      </c>
      <c r="F154" s="129">
        <f t="shared" si="2"/>
        <v>18550</v>
      </c>
      <c r="I154" s="245">
        <f>+F154+G154+H154</f>
        <v>18550</v>
      </c>
    </row>
    <row r="155" spans="2:9" ht="12.75" hidden="1">
      <c r="B155" s="130" t="s">
        <v>290</v>
      </c>
      <c r="C155" s="129">
        <v>0</v>
      </c>
      <c r="D155" s="129">
        <v>0</v>
      </c>
      <c r="E155" s="129">
        <v>0</v>
      </c>
      <c r="F155" s="129">
        <f t="shared" si="2"/>
        <v>0</v>
      </c>
      <c r="I155" s="245">
        <f>+F155+G155+H155</f>
        <v>0</v>
      </c>
    </row>
    <row r="156" spans="2:9" ht="12.75">
      <c r="B156" s="130" t="s">
        <v>377</v>
      </c>
      <c r="C156" s="129">
        <v>71695.2</v>
      </c>
      <c r="D156" s="129">
        <v>2450.14</v>
      </c>
      <c r="E156" s="129">
        <v>0</v>
      </c>
      <c r="F156" s="129">
        <f t="shared" si="2"/>
        <v>74145.34</v>
      </c>
      <c r="I156" s="245">
        <f>+F156+G156+H156</f>
        <v>74145.34</v>
      </c>
    </row>
    <row r="157" spans="2:9" ht="12.75">
      <c r="B157" s="130" t="s">
        <v>438</v>
      </c>
      <c r="C157" s="129">
        <v>12750</v>
      </c>
      <c r="D157" s="129">
        <v>0</v>
      </c>
      <c r="E157" s="129">
        <v>0</v>
      </c>
      <c r="F157" s="129">
        <f t="shared" si="2"/>
        <v>12750</v>
      </c>
      <c r="I157" s="245">
        <f>+F157+G157+H157</f>
        <v>12750</v>
      </c>
    </row>
    <row r="158" spans="2:9" ht="12.75">
      <c r="B158" s="130" t="s">
        <v>158</v>
      </c>
      <c r="C158" s="129">
        <v>0</v>
      </c>
      <c r="D158" s="129">
        <v>0</v>
      </c>
      <c r="E158" s="129">
        <v>0</v>
      </c>
      <c r="F158" s="129">
        <f t="shared" si="2"/>
        <v>0</v>
      </c>
      <c r="G158" s="129">
        <v>116493</v>
      </c>
      <c r="I158" s="245">
        <f>+F158+G158-H158</f>
        <v>116493</v>
      </c>
    </row>
    <row r="159" ht="12.75">
      <c r="B159" s="130" t="s">
        <v>378</v>
      </c>
    </row>
    <row r="160" spans="2:9" ht="12.75">
      <c r="B160" s="270" t="s">
        <v>379</v>
      </c>
      <c r="C160" s="129">
        <v>0</v>
      </c>
      <c r="D160" s="129">
        <v>0</v>
      </c>
      <c r="E160" s="129">
        <v>26400</v>
      </c>
      <c r="F160" s="129">
        <f aca="true" t="shared" si="3" ref="F160:F176">SUM(C160:E160)</f>
        <v>26400</v>
      </c>
      <c r="I160" s="245">
        <f aca="true" t="shared" si="4" ref="I160:I176">+F160+G160+H160</f>
        <v>26400</v>
      </c>
    </row>
    <row r="161" spans="2:9" ht="12.75">
      <c r="B161" s="270" t="s">
        <v>380</v>
      </c>
      <c r="C161" s="129">
        <f>20400+16080+154000</f>
        <v>190480</v>
      </c>
      <c r="D161" s="129">
        <v>165440</v>
      </c>
      <c r="E161" s="129">
        <v>0</v>
      </c>
      <c r="F161" s="129">
        <f t="shared" si="3"/>
        <v>355920</v>
      </c>
      <c r="I161" s="245">
        <f t="shared" si="4"/>
        <v>355920</v>
      </c>
    </row>
    <row r="162" spans="2:9" ht="12.75" hidden="1">
      <c r="B162" s="130" t="s">
        <v>381</v>
      </c>
      <c r="C162" s="129">
        <v>0</v>
      </c>
      <c r="D162" s="129">
        <v>0</v>
      </c>
      <c r="E162" s="129">
        <v>0</v>
      </c>
      <c r="F162" s="129">
        <f t="shared" si="3"/>
        <v>0</v>
      </c>
      <c r="I162" s="245">
        <f t="shared" si="4"/>
        <v>0</v>
      </c>
    </row>
    <row r="163" spans="2:9" ht="12.75" hidden="1">
      <c r="B163" s="130" t="s">
        <v>382</v>
      </c>
      <c r="F163" s="129">
        <f t="shared" si="3"/>
        <v>0</v>
      </c>
      <c r="I163" s="245">
        <f t="shared" si="4"/>
        <v>0</v>
      </c>
    </row>
    <row r="164" spans="2:9" ht="12.75" hidden="1">
      <c r="B164" s="270" t="s">
        <v>383</v>
      </c>
      <c r="C164" s="129">
        <v>0</v>
      </c>
      <c r="D164" s="129">
        <v>0</v>
      </c>
      <c r="E164" s="129">
        <v>0</v>
      </c>
      <c r="F164" s="129">
        <f t="shared" si="3"/>
        <v>0</v>
      </c>
      <c r="I164" s="245">
        <f t="shared" si="4"/>
        <v>0</v>
      </c>
    </row>
    <row r="165" spans="2:9" ht="12.75" hidden="1">
      <c r="B165" s="270" t="s">
        <v>384</v>
      </c>
      <c r="C165" s="129">
        <v>0</v>
      </c>
      <c r="D165" s="129">
        <v>0</v>
      </c>
      <c r="E165" s="129">
        <v>0</v>
      </c>
      <c r="F165" s="129">
        <f t="shared" si="3"/>
        <v>0</v>
      </c>
      <c r="I165" s="245">
        <f t="shared" si="4"/>
        <v>0</v>
      </c>
    </row>
    <row r="166" spans="2:9" ht="12.75" hidden="1">
      <c r="B166" s="270" t="s">
        <v>385</v>
      </c>
      <c r="C166" s="129">
        <v>0</v>
      </c>
      <c r="D166" s="129">
        <v>0</v>
      </c>
      <c r="E166" s="129">
        <v>0</v>
      </c>
      <c r="F166" s="129">
        <f t="shared" si="3"/>
        <v>0</v>
      </c>
      <c r="I166" s="245">
        <f t="shared" si="4"/>
        <v>0</v>
      </c>
    </row>
    <row r="167" spans="2:9" ht="12.75" hidden="1">
      <c r="B167" s="270" t="s">
        <v>386</v>
      </c>
      <c r="C167" s="129">
        <v>0</v>
      </c>
      <c r="D167" s="129">
        <v>0</v>
      </c>
      <c r="E167" s="129">
        <v>0</v>
      </c>
      <c r="F167" s="129">
        <f t="shared" si="3"/>
        <v>0</v>
      </c>
      <c r="I167" s="245">
        <f t="shared" si="4"/>
        <v>0</v>
      </c>
    </row>
    <row r="168" spans="2:9" ht="12.75" hidden="1">
      <c r="B168" s="270" t="s">
        <v>387</v>
      </c>
      <c r="C168" s="129">
        <v>0</v>
      </c>
      <c r="D168" s="129">
        <v>0</v>
      </c>
      <c r="E168" s="129">
        <v>0</v>
      </c>
      <c r="F168" s="129">
        <f t="shared" si="3"/>
        <v>0</v>
      </c>
      <c r="I168" s="245">
        <f t="shared" si="4"/>
        <v>0</v>
      </c>
    </row>
    <row r="169" spans="2:9" ht="12.75" hidden="1">
      <c r="B169" s="270" t="s">
        <v>388</v>
      </c>
      <c r="C169" s="129">
        <v>0</v>
      </c>
      <c r="D169" s="129">
        <v>0</v>
      </c>
      <c r="E169" s="129">
        <v>0</v>
      </c>
      <c r="F169" s="129">
        <f t="shared" si="3"/>
        <v>0</v>
      </c>
      <c r="I169" s="245">
        <f t="shared" si="4"/>
        <v>0</v>
      </c>
    </row>
    <row r="170" spans="2:9" ht="12.75" hidden="1">
      <c r="B170" s="270" t="s">
        <v>389</v>
      </c>
      <c r="C170" s="129">
        <v>0</v>
      </c>
      <c r="D170" s="129">
        <v>0</v>
      </c>
      <c r="E170" s="129">
        <v>0</v>
      </c>
      <c r="F170" s="129">
        <f t="shared" si="3"/>
        <v>0</v>
      </c>
      <c r="I170" s="245">
        <f t="shared" si="4"/>
        <v>0</v>
      </c>
    </row>
    <row r="171" spans="2:9" ht="12.75" hidden="1">
      <c r="B171" s="270" t="s">
        <v>390</v>
      </c>
      <c r="C171" s="129">
        <v>0</v>
      </c>
      <c r="D171" s="129">
        <v>0</v>
      </c>
      <c r="E171" s="129">
        <v>0</v>
      </c>
      <c r="F171" s="129">
        <f t="shared" si="3"/>
        <v>0</v>
      </c>
      <c r="I171" s="245">
        <f t="shared" si="4"/>
        <v>0</v>
      </c>
    </row>
    <row r="172" spans="2:9" ht="12.75" hidden="1">
      <c r="B172" s="130" t="s">
        <v>391</v>
      </c>
      <c r="C172" s="129">
        <v>0</v>
      </c>
      <c r="D172" s="129">
        <v>0</v>
      </c>
      <c r="E172" s="129">
        <v>0</v>
      </c>
      <c r="F172" s="129">
        <f t="shared" si="3"/>
        <v>0</v>
      </c>
      <c r="I172" s="245">
        <f t="shared" si="4"/>
        <v>0</v>
      </c>
    </row>
    <row r="173" spans="2:9" ht="12.75" hidden="1">
      <c r="B173" s="130" t="s">
        <v>392</v>
      </c>
      <c r="C173" s="129">
        <v>0</v>
      </c>
      <c r="D173" s="129">
        <v>0</v>
      </c>
      <c r="E173" s="129">
        <v>0</v>
      </c>
      <c r="F173" s="129">
        <f t="shared" si="3"/>
        <v>0</v>
      </c>
      <c r="I173" s="245">
        <f t="shared" si="4"/>
        <v>0</v>
      </c>
    </row>
    <row r="174" spans="2:9" ht="12.75">
      <c r="B174" s="130" t="s">
        <v>393</v>
      </c>
      <c r="C174" s="129">
        <v>0</v>
      </c>
      <c r="D174" s="129">
        <v>22500</v>
      </c>
      <c r="E174" s="129">
        <v>0</v>
      </c>
      <c r="F174" s="129">
        <f t="shared" si="3"/>
        <v>22500</v>
      </c>
      <c r="I174" s="245">
        <f t="shared" si="4"/>
        <v>22500</v>
      </c>
    </row>
    <row r="175" spans="2:9" ht="12.75" hidden="1">
      <c r="B175" s="130" t="s">
        <v>394</v>
      </c>
      <c r="C175" s="129">
        <v>0</v>
      </c>
      <c r="D175" s="129">
        <v>0</v>
      </c>
      <c r="E175" s="129">
        <v>0</v>
      </c>
      <c r="F175" s="129">
        <f t="shared" si="3"/>
        <v>0</v>
      </c>
      <c r="I175" s="245">
        <f t="shared" si="4"/>
        <v>0</v>
      </c>
    </row>
    <row r="176" spans="2:9" ht="12.75" hidden="1">
      <c r="B176" s="130" t="s">
        <v>395</v>
      </c>
      <c r="C176" s="129">
        <v>0</v>
      </c>
      <c r="D176" s="129">
        <v>0</v>
      </c>
      <c r="E176" s="129">
        <v>0</v>
      </c>
      <c r="F176" s="129">
        <f t="shared" si="3"/>
        <v>0</v>
      </c>
      <c r="I176" s="245">
        <f t="shared" si="4"/>
        <v>0</v>
      </c>
    </row>
    <row r="177" ht="12.75">
      <c r="B177" s="269" t="s">
        <v>396</v>
      </c>
    </row>
    <row r="178" spans="2:9" ht="12.75" hidden="1">
      <c r="B178" s="130" t="s">
        <v>292</v>
      </c>
      <c r="C178" s="54">
        <v>0</v>
      </c>
      <c r="D178" s="54">
        <v>0</v>
      </c>
      <c r="E178" s="54">
        <v>0</v>
      </c>
      <c r="F178" s="54">
        <f aca="true" t="shared" si="5" ref="F178:F189">SUM(C178:E178)</f>
        <v>0</v>
      </c>
      <c r="G178" s="54"/>
      <c r="H178" s="54"/>
      <c r="I178" s="102">
        <f aca="true" t="shared" si="6" ref="I178:I189">+F178+G178+H178</f>
        <v>0</v>
      </c>
    </row>
    <row r="179" spans="2:9" ht="12.75">
      <c r="B179" s="130" t="s">
        <v>297</v>
      </c>
      <c r="C179" s="54">
        <v>-126126.51</v>
      </c>
      <c r="D179" s="54">
        <v>0</v>
      </c>
      <c r="E179" s="54">
        <v>-182427.58</v>
      </c>
      <c r="F179" s="277">
        <f t="shared" si="5"/>
        <v>-308554.08999999997</v>
      </c>
      <c r="G179" s="54"/>
      <c r="H179" s="54"/>
      <c r="I179" s="102">
        <f t="shared" si="6"/>
        <v>-308554.08999999997</v>
      </c>
    </row>
    <row r="180" spans="2:9" ht="12.75" hidden="1">
      <c r="B180" s="130" t="s">
        <v>296</v>
      </c>
      <c r="C180" s="54">
        <v>0</v>
      </c>
      <c r="D180" s="54">
        <v>0</v>
      </c>
      <c r="E180" s="54">
        <v>0</v>
      </c>
      <c r="F180" s="54">
        <f t="shared" si="5"/>
        <v>0</v>
      </c>
      <c r="G180" s="54"/>
      <c r="H180" s="54">
        <v>0</v>
      </c>
      <c r="I180" s="102">
        <f t="shared" si="6"/>
        <v>0</v>
      </c>
    </row>
    <row r="181" spans="2:9" ht="12.75" hidden="1">
      <c r="B181" s="130" t="s">
        <v>397</v>
      </c>
      <c r="C181" s="54">
        <v>0</v>
      </c>
      <c r="D181" s="54">
        <v>0</v>
      </c>
      <c r="E181" s="54">
        <v>0</v>
      </c>
      <c r="F181" s="54">
        <f t="shared" si="5"/>
        <v>0</v>
      </c>
      <c r="G181" s="54"/>
      <c r="H181" s="54"/>
      <c r="I181" s="102">
        <f t="shared" si="6"/>
        <v>0</v>
      </c>
    </row>
    <row r="182" spans="2:9" ht="12.75" hidden="1">
      <c r="B182" s="130" t="s">
        <v>398</v>
      </c>
      <c r="C182" s="54">
        <v>0</v>
      </c>
      <c r="D182" s="54">
        <v>0</v>
      </c>
      <c r="E182" s="54">
        <v>0</v>
      </c>
      <c r="F182" s="54">
        <f t="shared" si="5"/>
        <v>0</v>
      </c>
      <c r="G182" s="54"/>
      <c r="H182" s="54"/>
      <c r="I182" s="102">
        <f t="shared" si="6"/>
        <v>0</v>
      </c>
    </row>
    <row r="183" spans="2:9" ht="12.75" hidden="1">
      <c r="B183" s="130" t="s">
        <v>399</v>
      </c>
      <c r="C183" s="54">
        <v>0</v>
      </c>
      <c r="D183" s="54">
        <v>0</v>
      </c>
      <c r="E183" s="54">
        <v>0</v>
      </c>
      <c r="F183" s="54">
        <f t="shared" si="5"/>
        <v>0</v>
      </c>
      <c r="G183" s="54"/>
      <c r="H183" s="54"/>
      <c r="I183" s="102">
        <f t="shared" si="6"/>
        <v>0</v>
      </c>
    </row>
    <row r="184" spans="2:9" ht="12.75" hidden="1">
      <c r="B184" s="130" t="s">
        <v>400</v>
      </c>
      <c r="C184" s="54">
        <v>0</v>
      </c>
      <c r="D184" s="54">
        <v>0</v>
      </c>
      <c r="E184" s="54">
        <v>0</v>
      </c>
      <c r="F184" s="54">
        <f t="shared" si="5"/>
        <v>0</v>
      </c>
      <c r="G184" s="54"/>
      <c r="H184" s="54"/>
      <c r="I184" s="102">
        <f t="shared" si="6"/>
        <v>0</v>
      </c>
    </row>
    <row r="185" spans="2:9" ht="12.75">
      <c r="B185" s="130" t="s">
        <v>401</v>
      </c>
      <c r="C185" s="54">
        <v>-697.13</v>
      </c>
      <c r="D185" s="54">
        <v>0</v>
      </c>
      <c r="E185" s="54">
        <v>0</v>
      </c>
      <c r="F185" s="54">
        <f t="shared" si="5"/>
        <v>-697.13</v>
      </c>
      <c r="G185" s="54"/>
      <c r="H185" s="54"/>
      <c r="I185" s="102">
        <f t="shared" si="6"/>
        <v>-697.13</v>
      </c>
    </row>
    <row r="186" spans="2:9" ht="12.75">
      <c r="B186" s="270" t="s">
        <v>402</v>
      </c>
      <c r="C186" s="54">
        <v>0</v>
      </c>
      <c r="D186" s="54">
        <v>0</v>
      </c>
      <c r="E186" s="54">
        <v>0</v>
      </c>
      <c r="F186" s="54">
        <f t="shared" si="5"/>
        <v>0</v>
      </c>
      <c r="G186" s="54"/>
      <c r="H186" s="54"/>
      <c r="I186" s="102">
        <f t="shared" si="6"/>
        <v>0</v>
      </c>
    </row>
    <row r="187" spans="2:9" ht="12.75" hidden="1">
      <c r="B187" s="130" t="s">
        <v>403</v>
      </c>
      <c r="C187" s="54">
        <v>0</v>
      </c>
      <c r="D187" s="54">
        <v>0</v>
      </c>
      <c r="E187" s="54">
        <v>0</v>
      </c>
      <c r="F187" s="54">
        <f t="shared" si="5"/>
        <v>0</v>
      </c>
      <c r="G187" s="54"/>
      <c r="H187" s="54"/>
      <c r="I187" s="102">
        <f t="shared" si="6"/>
        <v>0</v>
      </c>
    </row>
    <row r="188" spans="2:9" ht="12.75">
      <c r="B188" s="130" t="s">
        <v>404</v>
      </c>
      <c r="C188" s="54">
        <v>-7200</v>
      </c>
      <c r="D188" s="54">
        <v>0</v>
      </c>
      <c r="E188" s="54">
        <v>0</v>
      </c>
      <c r="F188" s="54">
        <f t="shared" si="5"/>
        <v>-7200</v>
      </c>
      <c r="G188" s="54"/>
      <c r="H188" s="54"/>
      <c r="I188" s="102">
        <f t="shared" si="6"/>
        <v>-7200</v>
      </c>
    </row>
    <row r="189" spans="2:9" ht="12.75" hidden="1">
      <c r="B189" s="130" t="s">
        <v>405</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406</v>
      </c>
    </row>
    <row r="194" ht="12.75">
      <c r="B194" s="130" t="s">
        <v>455</v>
      </c>
    </row>
    <row r="195" spans="2:9" ht="12.75">
      <c r="B195" s="136" t="s">
        <v>452</v>
      </c>
      <c r="C195" s="129">
        <v>334443.94</v>
      </c>
      <c r="D195" s="129">
        <v>58566.03</v>
      </c>
      <c r="E195" s="129">
        <v>0</v>
      </c>
      <c r="F195" s="129">
        <f aca="true" t="shared" si="7" ref="F195:F213">SUM(C195:E195)</f>
        <v>393009.97</v>
      </c>
      <c r="I195" s="245">
        <f aca="true" t="shared" si="8" ref="I195:I213">SUM(F195:H195)</f>
        <v>393009.97</v>
      </c>
    </row>
    <row r="196" spans="2:9" ht="12.75">
      <c r="B196" s="136" t="s">
        <v>441</v>
      </c>
      <c r="C196" s="129">
        <v>10400</v>
      </c>
      <c r="D196" s="129">
        <v>12000</v>
      </c>
      <c r="E196" s="129">
        <v>0</v>
      </c>
      <c r="F196" s="129">
        <f t="shared" si="7"/>
        <v>22400</v>
      </c>
      <c r="I196" s="245">
        <f t="shared" si="8"/>
        <v>22400</v>
      </c>
    </row>
    <row r="197" spans="2:9" ht="12.75">
      <c r="B197" s="136" t="s">
        <v>442</v>
      </c>
      <c r="C197" s="129">
        <f>107615-62475</f>
        <v>45140</v>
      </c>
      <c r="D197" s="129">
        <v>12908.33</v>
      </c>
      <c r="E197" s="129">
        <v>0</v>
      </c>
      <c r="F197" s="129">
        <f t="shared" si="7"/>
        <v>58048.33</v>
      </c>
      <c r="I197" s="245">
        <f t="shared" si="8"/>
        <v>58048.33</v>
      </c>
    </row>
    <row r="198" spans="2:9" ht="12.75">
      <c r="B198" s="136" t="s">
        <v>443</v>
      </c>
      <c r="C198" s="129">
        <v>55225</v>
      </c>
      <c r="D198" s="129">
        <v>25022</v>
      </c>
      <c r="E198" s="129">
        <v>0</v>
      </c>
      <c r="F198" s="129">
        <f t="shared" si="7"/>
        <v>80247</v>
      </c>
      <c r="I198" s="245">
        <f t="shared" si="8"/>
        <v>80247</v>
      </c>
    </row>
    <row r="199" spans="2:9" ht="12.75">
      <c r="B199" s="136" t="s">
        <v>444</v>
      </c>
      <c r="C199" s="129">
        <v>838.05</v>
      </c>
      <c r="D199" s="129">
        <v>412.35</v>
      </c>
      <c r="E199" s="129">
        <v>0</v>
      </c>
      <c r="F199" s="129">
        <f t="shared" si="7"/>
        <v>1250.4</v>
      </c>
      <c r="I199" s="245">
        <f t="shared" si="8"/>
        <v>1250.4</v>
      </c>
    </row>
    <row r="200" spans="2:9" ht="12.75">
      <c r="B200" s="136" t="s">
        <v>453</v>
      </c>
      <c r="C200" s="129">
        <v>10179.86</v>
      </c>
      <c r="D200" s="129">
        <v>624</v>
      </c>
      <c r="E200" s="129">
        <v>0</v>
      </c>
      <c r="F200" s="129">
        <f t="shared" si="7"/>
        <v>10803.86</v>
      </c>
      <c r="I200" s="245">
        <f t="shared" si="8"/>
        <v>10803.86</v>
      </c>
    </row>
    <row r="201" spans="2:9" ht="12.75">
      <c r="B201" s="136" t="s">
        <v>445</v>
      </c>
      <c r="C201" s="129">
        <v>525</v>
      </c>
      <c r="D201" s="129">
        <v>4263</v>
      </c>
      <c r="E201" s="129">
        <v>0</v>
      </c>
      <c r="F201" s="129">
        <f t="shared" si="7"/>
        <v>4788</v>
      </c>
      <c r="I201" s="245">
        <f t="shared" si="8"/>
        <v>4788</v>
      </c>
    </row>
    <row r="202" spans="2:9" ht="12.75">
      <c r="B202" s="136" t="s">
        <v>446</v>
      </c>
      <c r="C202" s="129">
        <v>27595.05</v>
      </c>
      <c r="D202" s="129">
        <v>252.14</v>
      </c>
      <c r="E202" s="129">
        <v>0</v>
      </c>
      <c r="F202" s="129">
        <f t="shared" si="7"/>
        <v>27847.19</v>
      </c>
      <c r="I202" s="245">
        <f t="shared" si="8"/>
        <v>27847.19</v>
      </c>
    </row>
    <row r="203" spans="2:9" ht="12.75">
      <c r="B203" s="136" t="s">
        <v>447</v>
      </c>
      <c r="C203" s="129">
        <v>24325.05</v>
      </c>
      <c r="D203" s="129">
        <v>0</v>
      </c>
      <c r="E203" s="129">
        <v>0</v>
      </c>
      <c r="F203" s="129">
        <f t="shared" si="7"/>
        <v>24325.05</v>
      </c>
      <c r="I203" s="245">
        <f t="shared" si="8"/>
        <v>24325.05</v>
      </c>
    </row>
    <row r="204" spans="2:9" ht="12.75">
      <c r="B204" s="136" t="s">
        <v>460</v>
      </c>
      <c r="C204" s="129">
        <v>0</v>
      </c>
      <c r="D204" s="129">
        <v>275</v>
      </c>
      <c r="E204" s="129">
        <v>9133.3</v>
      </c>
      <c r="F204" s="129">
        <f t="shared" si="7"/>
        <v>9408.3</v>
      </c>
      <c r="I204" s="245">
        <f t="shared" si="8"/>
        <v>9408.3</v>
      </c>
    </row>
    <row r="205" spans="2:9" ht="12.75">
      <c r="B205" s="136" t="s">
        <v>448</v>
      </c>
      <c r="C205" s="129">
        <v>11155.97</v>
      </c>
      <c r="D205" s="129">
        <v>0</v>
      </c>
      <c r="E205" s="129">
        <v>0</v>
      </c>
      <c r="F205" s="129">
        <f t="shared" si="7"/>
        <v>11155.97</v>
      </c>
      <c r="I205" s="245">
        <f t="shared" si="8"/>
        <v>11155.97</v>
      </c>
    </row>
    <row r="206" spans="2:9" ht="12.75">
      <c r="B206" s="136" t="s">
        <v>449</v>
      </c>
      <c r="C206" s="129">
        <v>20403.98</v>
      </c>
      <c r="D206" s="129">
        <v>0</v>
      </c>
      <c r="E206" s="129">
        <v>0</v>
      </c>
      <c r="F206" s="129">
        <f t="shared" si="7"/>
        <v>20403.98</v>
      </c>
      <c r="I206" s="245">
        <f t="shared" si="8"/>
        <v>20403.98</v>
      </c>
    </row>
    <row r="207" spans="2:9" ht="12.75">
      <c r="B207" s="136" t="s">
        <v>462</v>
      </c>
      <c r="C207" s="129">
        <v>0</v>
      </c>
      <c r="D207" s="129">
        <v>3045</v>
      </c>
      <c r="E207" s="129">
        <v>0</v>
      </c>
      <c r="F207" s="129">
        <f t="shared" si="7"/>
        <v>3045</v>
      </c>
      <c r="I207" s="245">
        <f t="shared" si="8"/>
        <v>3045</v>
      </c>
    </row>
    <row r="208" spans="2:9" ht="12.75">
      <c r="B208" s="136" t="s">
        <v>440</v>
      </c>
      <c r="C208" s="129">
        <v>154000</v>
      </c>
      <c r="D208" s="129">
        <v>132000</v>
      </c>
      <c r="E208" s="129">
        <v>0</v>
      </c>
      <c r="F208" s="129">
        <f t="shared" si="7"/>
        <v>286000</v>
      </c>
      <c r="I208" s="245">
        <f t="shared" si="8"/>
        <v>286000</v>
      </c>
    </row>
    <row r="209" spans="2:9" ht="12.75">
      <c r="B209" s="136" t="s">
        <v>465</v>
      </c>
      <c r="C209" s="129">
        <v>0</v>
      </c>
      <c r="D209" s="129">
        <v>0</v>
      </c>
      <c r="E209" s="129">
        <v>26400</v>
      </c>
      <c r="F209" s="129">
        <f t="shared" si="7"/>
        <v>26400</v>
      </c>
      <c r="I209" s="245">
        <f t="shared" si="8"/>
        <v>26400</v>
      </c>
    </row>
    <row r="210" spans="2:9" ht="12.75">
      <c r="B210" s="136" t="s">
        <v>450</v>
      </c>
      <c r="C210" s="129">
        <v>20400</v>
      </c>
      <c r="D210" s="129">
        <v>0</v>
      </c>
      <c r="E210" s="129">
        <v>0</v>
      </c>
      <c r="F210" s="129">
        <f t="shared" si="7"/>
        <v>20400</v>
      </c>
      <c r="I210" s="245">
        <f t="shared" si="8"/>
        <v>20400</v>
      </c>
    </row>
    <row r="211" spans="2:9" ht="12.75">
      <c r="B211" s="136" t="s">
        <v>451</v>
      </c>
      <c r="C211" s="129">
        <v>16080</v>
      </c>
      <c r="D211" s="129">
        <v>0</v>
      </c>
      <c r="E211" s="129">
        <v>0</v>
      </c>
      <c r="F211" s="129">
        <f t="shared" si="7"/>
        <v>16080</v>
      </c>
      <c r="I211" s="245">
        <f t="shared" si="8"/>
        <v>16080</v>
      </c>
    </row>
    <row r="212" spans="2:9" ht="12.75">
      <c r="B212" s="136" t="s">
        <v>461</v>
      </c>
      <c r="C212" s="129">
        <v>0</v>
      </c>
      <c r="D212" s="129">
        <v>5000</v>
      </c>
      <c r="E212" s="129">
        <v>0</v>
      </c>
      <c r="F212" s="129">
        <f t="shared" si="7"/>
        <v>5000</v>
      </c>
      <c r="I212" s="245">
        <f t="shared" si="8"/>
        <v>5000</v>
      </c>
    </row>
    <row r="213" spans="2:9" ht="12.75">
      <c r="B213" s="136" t="s">
        <v>481</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456</v>
      </c>
    </row>
    <row r="218" spans="2:9" ht="12.75">
      <c r="B218" s="136" t="s">
        <v>439</v>
      </c>
      <c r="C218" s="129">
        <v>0</v>
      </c>
      <c r="D218" s="129">
        <v>0</v>
      </c>
      <c r="E218" s="129">
        <v>0</v>
      </c>
      <c r="F218" s="129">
        <f aca="true" t="shared" si="9" ref="F218:F235">SUM(C218:E218)</f>
        <v>0</v>
      </c>
      <c r="I218" s="245">
        <f>SUM(F218:H218)</f>
        <v>0</v>
      </c>
    </row>
    <row r="219" spans="2:9" ht="12.75">
      <c r="B219" s="136" t="s">
        <v>452</v>
      </c>
      <c r="C219" s="129">
        <v>173181.5</v>
      </c>
      <c r="D219" s="129">
        <v>17925.16</v>
      </c>
      <c r="E219" s="129">
        <v>0</v>
      </c>
      <c r="F219" s="129">
        <f t="shared" si="9"/>
        <v>191106.66</v>
      </c>
      <c r="I219" s="245">
        <f aca="true" t="shared" si="10" ref="I219:I235">SUM(F219:H219)</f>
        <v>191106.66</v>
      </c>
    </row>
    <row r="220" spans="2:9" ht="12.75">
      <c r="B220" s="136" t="s">
        <v>441</v>
      </c>
      <c r="C220" s="129">
        <v>8400</v>
      </c>
      <c r="D220" s="129">
        <v>18000</v>
      </c>
      <c r="E220" s="129">
        <v>0</v>
      </c>
      <c r="F220" s="129">
        <f t="shared" si="9"/>
        <v>26400</v>
      </c>
      <c r="I220" s="245">
        <f t="shared" si="10"/>
        <v>26400</v>
      </c>
    </row>
    <row r="221" spans="2:9" ht="12.75">
      <c r="B221" s="136" t="s">
        <v>442</v>
      </c>
      <c r="C221" s="129">
        <v>3610</v>
      </c>
      <c r="D221" s="129">
        <v>0</v>
      </c>
      <c r="E221" s="129">
        <v>0</v>
      </c>
      <c r="F221" s="129">
        <f t="shared" si="9"/>
        <v>3610</v>
      </c>
      <c r="I221" s="245">
        <f t="shared" si="10"/>
        <v>3610</v>
      </c>
    </row>
    <row r="222" spans="2:9" ht="12.75">
      <c r="B222" s="136" t="s">
        <v>443</v>
      </c>
      <c r="C222" s="129">
        <v>21219</v>
      </c>
      <c r="D222" s="129">
        <v>11874</v>
      </c>
      <c r="E222" s="129">
        <v>0</v>
      </c>
      <c r="F222" s="129">
        <f t="shared" si="9"/>
        <v>33093</v>
      </c>
      <c r="I222" s="245">
        <f t="shared" si="10"/>
        <v>33093</v>
      </c>
    </row>
    <row r="223" spans="2:9" ht="12.75">
      <c r="B223" s="136" t="s">
        <v>444</v>
      </c>
      <c r="C223" s="129">
        <v>564.85</v>
      </c>
      <c r="D223" s="129">
        <v>0</v>
      </c>
      <c r="E223" s="129">
        <v>0</v>
      </c>
      <c r="F223" s="129">
        <f t="shared" si="9"/>
        <v>564.85</v>
      </c>
      <c r="I223" s="245">
        <f t="shared" si="10"/>
        <v>564.85</v>
      </c>
    </row>
    <row r="224" spans="2:9" ht="12.75">
      <c r="B224" s="136" t="s">
        <v>453</v>
      </c>
      <c r="C224" s="129">
        <v>3715.88</v>
      </c>
      <c r="D224" s="129">
        <v>24</v>
      </c>
      <c r="E224" s="129">
        <v>0</v>
      </c>
      <c r="F224" s="129">
        <f t="shared" si="9"/>
        <v>3739.88</v>
      </c>
      <c r="I224" s="245">
        <f t="shared" si="10"/>
        <v>3739.88</v>
      </c>
    </row>
    <row r="225" spans="2:9" ht="12.75">
      <c r="B225" s="136" t="s">
        <v>445</v>
      </c>
      <c r="C225" s="129">
        <v>0</v>
      </c>
      <c r="D225" s="129">
        <v>0</v>
      </c>
      <c r="E225" s="129">
        <v>0</v>
      </c>
      <c r="F225" s="129">
        <f t="shared" si="9"/>
        <v>0</v>
      </c>
      <c r="I225" s="245">
        <f t="shared" si="10"/>
        <v>0</v>
      </c>
    </row>
    <row r="226" spans="2:9" ht="12.75">
      <c r="B226" s="136" t="s">
        <v>446</v>
      </c>
      <c r="C226" s="129">
        <v>7662.25</v>
      </c>
      <c r="D226" s="129">
        <v>483.01</v>
      </c>
      <c r="E226" s="129">
        <v>0</v>
      </c>
      <c r="F226" s="129">
        <f t="shared" si="9"/>
        <v>8145.26</v>
      </c>
      <c r="I226" s="245">
        <f t="shared" si="10"/>
        <v>8145.26</v>
      </c>
    </row>
    <row r="227" spans="2:9" ht="12.75">
      <c r="B227" s="136" t="s">
        <v>447</v>
      </c>
      <c r="C227" s="129">
        <v>17958.29</v>
      </c>
      <c r="D227" s="129">
        <v>0</v>
      </c>
      <c r="E227" s="129">
        <v>0</v>
      </c>
      <c r="F227" s="129">
        <f t="shared" si="9"/>
        <v>17958.29</v>
      </c>
      <c r="I227" s="245">
        <f t="shared" si="10"/>
        <v>17958.29</v>
      </c>
    </row>
    <row r="228" spans="2:9" ht="12.75">
      <c r="B228" s="136" t="s">
        <v>448</v>
      </c>
      <c r="C228" s="129">
        <v>19172.13</v>
      </c>
      <c r="D228" s="129">
        <v>0</v>
      </c>
      <c r="E228" s="129">
        <v>0</v>
      </c>
      <c r="F228" s="129">
        <f t="shared" si="9"/>
        <v>19172.13</v>
      </c>
      <c r="I228" s="245">
        <f t="shared" si="10"/>
        <v>19172.13</v>
      </c>
    </row>
    <row r="229" spans="2:9" ht="12.75">
      <c r="B229" s="136" t="s">
        <v>449</v>
      </c>
      <c r="C229" s="129">
        <v>4132.5</v>
      </c>
      <c r="D229" s="129">
        <v>0</v>
      </c>
      <c r="E229" s="129">
        <v>0</v>
      </c>
      <c r="F229" s="129">
        <f t="shared" si="9"/>
        <v>4132.5</v>
      </c>
      <c r="I229" s="245">
        <f t="shared" si="10"/>
        <v>4132.5</v>
      </c>
    </row>
    <row r="230" spans="2:9" ht="12.75">
      <c r="B230" s="136" t="s">
        <v>454</v>
      </c>
      <c r="C230" s="129">
        <v>0</v>
      </c>
      <c r="D230" s="129">
        <v>0</v>
      </c>
      <c r="E230" s="129">
        <v>0</v>
      </c>
      <c r="F230" s="129">
        <f t="shared" si="9"/>
        <v>0</v>
      </c>
      <c r="I230" s="245">
        <f t="shared" si="10"/>
        <v>0</v>
      </c>
    </row>
    <row r="231" spans="2:9" ht="12.75">
      <c r="B231" s="136" t="s">
        <v>463</v>
      </c>
      <c r="C231" s="129">
        <v>0</v>
      </c>
      <c r="D231" s="129">
        <v>21300</v>
      </c>
      <c r="E231" s="129">
        <v>0</v>
      </c>
      <c r="F231" s="129">
        <f t="shared" si="9"/>
        <v>21300</v>
      </c>
      <c r="I231" s="245">
        <f t="shared" si="10"/>
        <v>21300</v>
      </c>
    </row>
    <row r="232" spans="2:9" ht="12.75">
      <c r="B232" s="136" t="s">
        <v>462</v>
      </c>
      <c r="C232" s="129">
        <v>0</v>
      </c>
      <c r="D232" s="129">
        <v>150560</v>
      </c>
      <c r="E232" s="129">
        <v>0</v>
      </c>
      <c r="F232" s="129">
        <f t="shared" si="9"/>
        <v>150560</v>
      </c>
      <c r="I232" s="245">
        <f t="shared" si="10"/>
        <v>150560</v>
      </c>
    </row>
    <row r="233" spans="2:9" ht="12.75">
      <c r="B233" s="136" t="s">
        <v>440</v>
      </c>
      <c r="C233" s="129">
        <v>121200</v>
      </c>
      <c r="D233" s="129">
        <v>99000</v>
      </c>
      <c r="E233" s="129">
        <v>0</v>
      </c>
      <c r="F233" s="129">
        <f t="shared" si="9"/>
        <v>220200</v>
      </c>
      <c r="I233" s="245">
        <f t="shared" si="10"/>
        <v>220200</v>
      </c>
    </row>
    <row r="234" spans="2:9" ht="12.75">
      <c r="B234" s="136" t="s">
        <v>450</v>
      </c>
      <c r="C234" s="129">
        <v>27840</v>
      </c>
      <c r="D234" s="129">
        <v>0</v>
      </c>
      <c r="E234" s="129">
        <v>0</v>
      </c>
      <c r="F234" s="129">
        <f t="shared" si="9"/>
        <v>27840</v>
      </c>
      <c r="I234" s="245">
        <f t="shared" si="10"/>
        <v>27840</v>
      </c>
    </row>
    <row r="235" spans="2:9" ht="12.75">
      <c r="B235" s="136" t="s">
        <v>451</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407</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2" t="s">
        <v>63</v>
      </c>
    </row>
    <row r="4" ht="12.75">
      <c r="A4" s="32" t="s">
        <v>484</v>
      </c>
    </row>
    <row r="5" ht="12.75">
      <c r="A5" s="33" t="s">
        <v>23</v>
      </c>
    </row>
    <row r="6" spans="3:8" ht="12.75" hidden="1">
      <c r="C6" s="96" t="s">
        <v>38</v>
      </c>
      <c r="D6" s="96" t="s">
        <v>39</v>
      </c>
      <c r="E6" s="96" t="s">
        <v>40</v>
      </c>
      <c r="F6" s="11" t="s">
        <v>47</v>
      </c>
      <c r="G6" s="11" t="s">
        <v>47</v>
      </c>
      <c r="H6" s="11" t="s">
        <v>48</v>
      </c>
    </row>
    <row r="7" spans="6:8" ht="12.75">
      <c r="F7" s="16"/>
      <c r="G7" s="16"/>
      <c r="H7" s="16"/>
    </row>
    <row r="8" spans="1:8" s="53" customFormat="1" ht="12.75" hidden="1">
      <c r="A8" s="59"/>
      <c r="B8" s="54"/>
      <c r="C8" s="98"/>
      <c r="D8" s="98"/>
      <c r="E8" s="98"/>
      <c r="F8" s="60" t="s">
        <v>2</v>
      </c>
      <c r="G8" s="60" t="s">
        <v>3</v>
      </c>
      <c r="H8" s="37"/>
    </row>
    <row r="9" spans="1:8" s="53" customFormat="1" ht="12.75">
      <c r="A9" s="31" t="s">
        <v>64</v>
      </c>
      <c r="B9" s="54"/>
      <c r="C9" s="98"/>
      <c r="D9" s="98"/>
      <c r="E9" s="98"/>
      <c r="F9" s="60"/>
      <c r="G9" s="60"/>
      <c r="H9" s="37"/>
    </row>
    <row r="10" spans="1:8" s="53" customFormat="1" ht="12.75">
      <c r="A10" s="31" t="s">
        <v>483</v>
      </c>
      <c r="B10" s="54"/>
      <c r="C10" s="98"/>
      <c r="D10" s="98"/>
      <c r="E10" s="98"/>
      <c r="F10" s="60"/>
      <c r="G10" s="60"/>
      <c r="H10" s="37"/>
    </row>
    <row r="11" spans="2:11" s="53" customFormat="1" ht="12.75">
      <c r="B11" s="54"/>
      <c r="C11" s="98"/>
      <c r="D11" s="98"/>
      <c r="E11" s="98"/>
      <c r="F11" s="60"/>
      <c r="G11" s="60"/>
      <c r="H11" s="61" t="s">
        <v>169</v>
      </c>
      <c r="I11" s="62"/>
      <c r="J11" s="61" t="s">
        <v>170</v>
      </c>
      <c r="K11" s="63"/>
    </row>
    <row r="12" spans="2:12" s="53" customFormat="1" ht="12.75">
      <c r="B12" s="54"/>
      <c r="C12" s="418" t="s">
        <v>485</v>
      </c>
      <c r="D12" s="418"/>
      <c r="E12" s="418"/>
      <c r="F12" s="60"/>
      <c r="G12" s="60"/>
      <c r="H12" s="9" t="s">
        <v>165</v>
      </c>
      <c r="I12" s="9" t="s">
        <v>165</v>
      </c>
      <c r="J12" s="9" t="s">
        <v>166</v>
      </c>
      <c r="K12" s="9" t="s">
        <v>166</v>
      </c>
      <c r="L12" s="9" t="s">
        <v>166</v>
      </c>
    </row>
    <row r="13" spans="1:12" s="53" customFormat="1" ht="12.75">
      <c r="A13" s="59"/>
      <c r="B13" s="54"/>
      <c r="C13" s="98" t="s">
        <v>38</v>
      </c>
      <c r="D13" s="98" t="s">
        <v>75</v>
      </c>
      <c r="E13" s="98" t="s">
        <v>40</v>
      </c>
      <c r="F13" s="60"/>
      <c r="G13" s="60"/>
      <c r="H13" s="67" t="s">
        <v>486</v>
      </c>
      <c r="I13" s="67" t="s">
        <v>487</v>
      </c>
      <c r="J13" s="67" t="str">
        <f>+H13</f>
        <v>31.03.2005</v>
      </c>
      <c r="K13" s="67" t="s">
        <v>487</v>
      </c>
      <c r="L13" s="67" t="s">
        <v>237</v>
      </c>
    </row>
    <row r="14" spans="1:12" ht="12.75">
      <c r="A14" s="28"/>
      <c r="C14" s="96" t="s">
        <v>4</v>
      </c>
      <c r="D14" s="96" t="s">
        <v>4</v>
      </c>
      <c r="E14" s="96" t="s">
        <v>4</v>
      </c>
      <c r="F14" s="11" t="s">
        <v>4</v>
      </c>
      <c r="G14" s="11" t="s">
        <v>4</v>
      </c>
      <c r="H14" s="11" t="s">
        <v>4</v>
      </c>
      <c r="I14" s="11" t="s">
        <v>4</v>
      </c>
      <c r="J14" s="11" t="s">
        <v>4</v>
      </c>
      <c r="K14" s="11" t="s">
        <v>4</v>
      </c>
      <c r="L14" s="11" t="s">
        <v>4</v>
      </c>
    </row>
    <row r="16" spans="1:12" ht="12.75">
      <c r="A16" s="16" t="s">
        <v>151</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48</v>
      </c>
      <c r="L17" s="64"/>
    </row>
    <row r="18" spans="1:12" ht="12.75">
      <c r="A18" s="16" t="s">
        <v>152</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48</v>
      </c>
      <c r="L19" s="64"/>
    </row>
    <row r="20" spans="1:12" ht="12.75">
      <c r="A20" s="16" t="s">
        <v>153</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48</v>
      </c>
      <c r="L21" s="64"/>
    </row>
    <row r="22" spans="1:12" ht="12.75">
      <c r="A22" s="16" t="s">
        <v>154</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48</v>
      </c>
      <c r="L23" s="64"/>
    </row>
    <row r="24" spans="1:12" ht="12.75">
      <c r="A24" s="16" t="s">
        <v>155</v>
      </c>
      <c r="J24" s="19"/>
      <c r="K24" s="16" t="s">
        <v>48</v>
      </c>
      <c r="L24" s="64"/>
    </row>
    <row r="25" spans="1:12" ht="12.75">
      <c r="A25" s="16" t="s">
        <v>156</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48</v>
      </c>
      <c r="L26" s="64"/>
    </row>
    <row r="27" spans="1:12" ht="12.75">
      <c r="A27" s="16" t="s">
        <v>157</v>
      </c>
      <c r="C27" s="101">
        <v>0</v>
      </c>
      <c r="D27" s="89">
        <v>0</v>
      </c>
      <c r="E27" s="89">
        <v>0</v>
      </c>
      <c r="H27" s="19">
        <v>0</v>
      </c>
      <c r="I27" s="19">
        <v>0</v>
      </c>
      <c r="J27" s="19">
        <f>C27+D27+E27-F27+G27</f>
        <v>0</v>
      </c>
      <c r="K27" s="19">
        <v>0</v>
      </c>
      <c r="L27" s="64">
        <v>0</v>
      </c>
    </row>
    <row r="28" spans="3:12" ht="12.75">
      <c r="C28" s="101"/>
      <c r="H28" s="23" t="s">
        <v>48</v>
      </c>
      <c r="J28" s="19"/>
      <c r="K28" s="16" t="s">
        <v>48</v>
      </c>
      <c r="L28" s="64"/>
    </row>
    <row r="29" spans="1:12" ht="12.75">
      <c r="A29" s="16" t="s">
        <v>70</v>
      </c>
      <c r="C29" s="101">
        <v>0</v>
      </c>
      <c r="D29" s="89">
        <v>-35186.21</v>
      </c>
      <c r="E29" s="89">
        <v>-798.12</v>
      </c>
      <c r="H29" s="23">
        <f>J29-L29</f>
        <v>-35984.33</v>
      </c>
      <c r="I29" s="19">
        <v>-27556.05</v>
      </c>
      <c r="J29" s="19">
        <f>C29+D29+E29-F29+G29</f>
        <v>-35984.33</v>
      </c>
      <c r="K29" s="19">
        <v>-27556.05</v>
      </c>
      <c r="L29" s="64">
        <v>0</v>
      </c>
    </row>
    <row r="30" spans="3:12" ht="12.75">
      <c r="C30" s="101"/>
      <c r="I30" s="19"/>
      <c r="J30" s="19"/>
      <c r="K30" s="19" t="s">
        <v>48</v>
      </c>
      <c r="L30" s="64"/>
    </row>
    <row r="31" spans="1:12" ht="12.75">
      <c r="A31" s="16" t="s">
        <v>158</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48</v>
      </c>
      <c r="L32" s="64"/>
    </row>
    <row r="33" spans="1:12" ht="12.75">
      <c r="A33" s="16" t="s">
        <v>159</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48</v>
      </c>
      <c r="L34" s="64"/>
    </row>
    <row r="35" spans="1:12" ht="12.75">
      <c r="A35" s="27" t="s">
        <v>207</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48</v>
      </c>
      <c r="L36" s="64"/>
    </row>
    <row r="37" spans="1:13" ht="12.75">
      <c r="A37" s="27" t="s">
        <v>103</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48</v>
      </c>
      <c r="L38" s="64"/>
    </row>
    <row r="39" spans="1:12" ht="12.75">
      <c r="A39" s="27" t="s">
        <v>160</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48</v>
      </c>
      <c r="K40" s="16" t="s">
        <v>48</v>
      </c>
      <c r="L40" s="64" t="s">
        <v>48</v>
      </c>
    </row>
    <row r="41" spans="1:12" ht="12.75">
      <c r="A41" s="27" t="s">
        <v>495</v>
      </c>
      <c r="H41" s="26">
        <v>0</v>
      </c>
      <c r="I41" s="26">
        <v>9441.89</v>
      </c>
      <c r="J41" s="320">
        <v>0</v>
      </c>
      <c r="K41" s="318">
        <v>9441.89</v>
      </c>
      <c r="L41" s="318"/>
    </row>
    <row r="42" spans="1:12" ht="12.75">
      <c r="A42" s="27"/>
      <c r="H42" s="18"/>
      <c r="I42" s="18"/>
      <c r="J42" s="63"/>
      <c r="K42" s="63" t="s">
        <v>48</v>
      </c>
      <c r="L42" s="65"/>
    </row>
    <row r="43" spans="1:12" ht="12.75">
      <c r="A43" s="27" t="s">
        <v>496</v>
      </c>
      <c r="J43" s="29"/>
      <c r="K43" s="16" t="s">
        <v>48</v>
      </c>
      <c r="L43" s="64"/>
    </row>
    <row r="44" spans="1:12" ht="12.75">
      <c r="A44" s="27" t="s">
        <v>497</v>
      </c>
      <c r="H44" s="19">
        <f>+H39+H41</f>
        <v>809904.5608000001</v>
      </c>
      <c r="I44" s="64">
        <f>+I39+I41</f>
        <v>1284662.2585000002</v>
      </c>
      <c r="J44" s="19">
        <f>+J39+J41</f>
        <v>809904.5608000001</v>
      </c>
      <c r="K44" s="19">
        <v>1284662.2585000002</v>
      </c>
      <c r="L44" s="64"/>
    </row>
    <row r="45" spans="1:12" ht="12.75">
      <c r="A45" s="27"/>
      <c r="J45" s="29"/>
      <c r="K45" s="16" t="s">
        <v>48</v>
      </c>
      <c r="L45" s="64"/>
    </row>
    <row r="46" spans="1:12" s="53" customFormat="1" ht="15.75" customHeight="1">
      <c r="A46" s="55" t="s">
        <v>67</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68</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48</v>
      </c>
      <c r="J49" s="19" t="s">
        <v>48</v>
      </c>
      <c r="L49" s="16" t="s">
        <v>48</v>
      </c>
    </row>
    <row r="50" spans="1:12" s="68" customFormat="1" ht="12.75">
      <c r="A50" s="16" t="s">
        <v>161</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8" t="s">
        <v>163</v>
      </c>
      <c r="H53" s="66">
        <f>H48*100/H50</f>
        <v>1.653818407586421</v>
      </c>
      <c r="I53" s="319">
        <v>2.3294011381055424</v>
      </c>
      <c r="J53" s="66">
        <f>J48*100/J50</f>
        <v>4.421116874996016</v>
      </c>
      <c r="K53" s="319">
        <v>2.3294011381055424</v>
      </c>
      <c r="L53" s="66">
        <f>L48*100/L50</f>
        <v>0</v>
      </c>
    </row>
    <row r="54" spans="1:12" ht="12.75">
      <c r="A54" s="58" t="s">
        <v>164</v>
      </c>
      <c r="H54" s="79" t="s">
        <v>205</v>
      </c>
      <c r="I54" s="110" t="s">
        <v>205</v>
      </c>
      <c r="J54" s="79" t="s">
        <v>205</v>
      </c>
      <c r="K54" s="110" t="s">
        <v>205</v>
      </c>
      <c r="L54" s="79" t="s">
        <v>205</v>
      </c>
    </row>
    <row r="56" ht="12.75">
      <c r="J56" s="64">
        <f>+J48-'Balance Sheet'!I45</f>
        <v>0.19480000156909227</v>
      </c>
    </row>
    <row r="72" ht="12.75">
      <c r="A72" s="16" t="s">
        <v>168</v>
      </c>
    </row>
    <row r="73" ht="12.75">
      <c r="A73" s="16" t="s">
        <v>167</v>
      </c>
    </row>
  </sheetData>
  <sheetProtection/>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171</v>
      </c>
    </row>
    <row r="2" ht="12.75">
      <c r="A2" s="16" t="s">
        <v>62</v>
      </c>
    </row>
    <row r="3" ht="12.75">
      <c r="A3" s="32" t="s">
        <v>63</v>
      </c>
    </row>
    <row r="4" ht="12.75">
      <c r="A4" s="32" t="s">
        <v>498</v>
      </c>
    </row>
    <row r="5" ht="12.75">
      <c r="A5" s="33" t="s">
        <v>23</v>
      </c>
    </row>
    <row r="6" ht="12.75">
      <c r="A6" s="16"/>
    </row>
    <row r="7" ht="12.75">
      <c r="A7" s="16"/>
    </row>
    <row r="8" ht="12.75">
      <c r="A8" s="59"/>
    </row>
    <row r="9" ht="12.75">
      <c r="A9" s="31" t="s">
        <v>64</v>
      </c>
    </row>
    <row r="10" ht="12.75">
      <c r="A10" s="31" t="s">
        <v>499</v>
      </c>
    </row>
    <row r="11" spans="1:6" ht="12.75">
      <c r="A11" s="53"/>
      <c r="B11" s="419" t="s">
        <v>169</v>
      </c>
      <c r="C11" s="419"/>
      <c r="D11" s="419" t="s">
        <v>248</v>
      </c>
      <c r="E11" s="419"/>
      <c r="F11" s="97"/>
    </row>
    <row r="12" spans="1:6" ht="12.75">
      <c r="A12" s="53"/>
      <c r="B12" s="80" t="s">
        <v>165</v>
      </c>
      <c r="C12" s="80" t="s">
        <v>165</v>
      </c>
      <c r="D12" s="80" t="s">
        <v>166</v>
      </c>
      <c r="E12" s="80" t="s">
        <v>166</v>
      </c>
      <c r="F12" s="80" t="s">
        <v>166</v>
      </c>
    </row>
    <row r="13" spans="1:6" ht="12.75">
      <c r="A13" s="59"/>
      <c r="B13" s="39" t="s">
        <v>486</v>
      </c>
      <c r="C13" s="39" t="s">
        <v>487</v>
      </c>
      <c r="D13" s="39" t="s">
        <v>486</v>
      </c>
      <c r="E13" s="39" t="s">
        <v>487</v>
      </c>
      <c r="F13" s="39" t="s">
        <v>480</v>
      </c>
    </row>
    <row r="14" spans="1:6" ht="12.75">
      <c r="A14" s="28"/>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1"/>
    </row>
    <row r="17" spans="1:7" ht="12.75">
      <c r="A17" s="16"/>
      <c r="F17" s="10"/>
      <c r="G17" s="21"/>
    </row>
    <row r="18" spans="1:7" ht="12.75">
      <c r="A18" s="16" t="s">
        <v>507</v>
      </c>
      <c r="B18" s="10">
        <v>-1711073</v>
      </c>
      <c r="C18" s="10">
        <v>-2437872</v>
      </c>
      <c r="D18" s="10">
        <v>-1711073</v>
      </c>
      <c r="E18" s="10">
        <v>-2437872</v>
      </c>
      <c r="F18" s="10"/>
      <c r="G18" s="21"/>
    </row>
    <row r="19" spans="1:6" ht="12.75">
      <c r="A19" s="16"/>
      <c r="F19" s="10"/>
    </row>
    <row r="20" spans="1:6" ht="12.75">
      <c r="A20" s="16" t="s">
        <v>508</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509</v>
      </c>
      <c r="B24" s="10">
        <v>-86963</v>
      </c>
      <c r="C24" s="10">
        <v>-16592</v>
      </c>
      <c r="D24" s="10">
        <v>-86963</v>
      </c>
      <c r="E24" s="10">
        <v>-16592</v>
      </c>
      <c r="F24" s="10"/>
    </row>
    <row r="25" spans="1:6" ht="12.75">
      <c r="A25" s="16"/>
      <c r="F25" s="10"/>
    </row>
    <row r="26" spans="1:6" ht="12.75">
      <c r="A26" s="16" t="s">
        <v>510</v>
      </c>
      <c r="B26" s="10">
        <v>-426058</v>
      </c>
      <c r="C26" s="10">
        <v>-130462</v>
      </c>
      <c r="D26" s="10">
        <v>-426058</v>
      </c>
      <c r="E26" s="10">
        <v>-130462</v>
      </c>
      <c r="F26" s="10"/>
    </row>
    <row r="27" spans="1:6" ht="12.75">
      <c r="A27" s="16"/>
      <c r="F27" s="10"/>
    </row>
    <row r="28" spans="1:7" ht="12.75">
      <c r="A28" s="16" t="s">
        <v>511</v>
      </c>
      <c r="B28" s="10">
        <v>-197533</v>
      </c>
      <c r="C28" s="10">
        <v>-78138</v>
      </c>
      <c r="D28" s="10">
        <v>-197533</v>
      </c>
      <c r="E28" s="10">
        <v>-78138</v>
      </c>
      <c r="F28" s="10">
        <f>PL!L18+PL!L22+PL!L29+PL!L31</f>
        <v>0</v>
      </c>
      <c r="G28" s="21"/>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512</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8" t="s">
        <v>163</v>
      </c>
      <c r="B40" s="77">
        <f>B34/B37*(100)</f>
        <v>0.8329570864649243</v>
      </c>
      <c r="C40" s="77">
        <v>2.3294011381055424</v>
      </c>
      <c r="D40" s="77">
        <v>0.83</v>
      </c>
      <c r="E40" s="77">
        <v>2.3294011381055424</v>
      </c>
      <c r="F40" s="77" t="e">
        <f>#REF!*100/F37</f>
        <v>#REF!</v>
      </c>
    </row>
    <row r="41" spans="1:6" ht="12.75">
      <c r="A41" s="58" t="s">
        <v>164</v>
      </c>
      <c r="B41" s="81" t="s">
        <v>205</v>
      </c>
      <c r="C41" s="81" t="s">
        <v>205</v>
      </c>
      <c r="D41" s="81" t="s">
        <v>205</v>
      </c>
      <c r="E41" s="81" t="s">
        <v>205</v>
      </c>
      <c r="F41" s="81" t="s">
        <v>205</v>
      </c>
    </row>
    <row r="42" ht="12.75">
      <c r="A42" s="27" t="s">
        <v>48</v>
      </c>
    </row>
    <row r="43" ht="12.75">
      <c r="A43" s="27"/>
    </row>
    <row r="46" ht="12.75">
      <c r="A46" s="82" t="s">
        <v>208</v>
      </c>
    </row>
    <row r="48" ht="12.75">
      <c r="A48" s="16" t="s">
        <v>209</v>
      </c>
    </row>
    <row r="49" ht="12.75">
      <c r="A49" s="16" t="s">
        <v>504</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5"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2" t="s">
        <v>247</v>
      </c>
    </row>
    <row r="4" ht="12.75">
      <c r="A4" s="32" t="s">
        <v>500</v>
      </c>
    </row>
    <row r="5" ht="12.75">
      <c r="A5" s="33" t="s">
        <v>23</v>
      </c>
    </row>
    <row r="7" ht="12.75">
      <c r="A7" s="32" t="s">
        <v>501</v>
      </c>
    </row>
    <row r="8" spans="1:10" ht="12.75">
      <c r="A8" s="32"/>
      <c r="B8" s="96"/>
      <c r="C8" s="96"/>
      <c r="D8" s="96"/>
      <c r="E8" s="96"/>
      <c r="F8" s="11"/>
      <c r="G8" s="11"/>
      <c r="H8" s="11"/>
      <c r="I8" s="321"/>
      <c r="J8" s="323"/>
    </row>
    <row r="9" spans="1:10" ht="12.75">
      <c r="A9" s="32"/>
      <c r="B9" s="96" t="s">
        <v>38</v>
      </c>
      <c r="C9" s="96" t="s">
        <v>39</v>
      </c>
      <c r="D9" s="96" t="s">
        <v>40</v>
      </c>
      <c r="E9" s="96" t="s">
        <v>246</v>
      </c>
      <c r="F9" s="11" t="s">
        <v>47</v>
      </c>
      <c r="G9" s="11" t="s">
        <v>246</v>
      </c>
      <c r="H9" s="11" t="s">
        <v>47</v>
      </c>
      <c r="I9" s="11" t="s">
        <v>469</v>
      </c>
      <c r="J9" s="11" t="s">
        <v>469</v>
      </c>
    </row>
    <row r="10" spans="1:10" ht="12.75">
      <c r="A10" s="32"/>
      <c r="F10" s="11" t="s">
        <v>2</v>
      </c>
      <c r="G10" s="11"/>
      <c r="H10" s="11" t="s">
        <v>3</v>
      </c>
      <c r="I10" s="39" t="s">
        <v>486</v>
      </c>
      <c r="J10" s="67" t="s">
        <v>487</v>
      </c>
    </row>
    <row r="11" spans="1:10" ht="12.75">
      <c r="A11" s="32"/>
      <c r="B11" s="96" t="s">
        <v>4</v>
      </c>
      <c r="C11" s="96" t="s">
        <v>4</v>
      </c>
      <c r="D11" s="96" t="s">
        <v>4</v>
      </c>
      <c r="E11" s="96"/>
      <c r="F11" s="11" t="s">
        <v>4</v>
      </c>
      <c r="G11" s="11"/>
      <c r="H11" s="11" t="s">
        <v>4</v>
      </c>
      <c r="I11" s="11" t="s">
        <v>4</v>
      </c>
      <c r="J11" s="67" t="s">
        <v>4</v>
      </c>
    </row>
    <row r="13" spans="1:10" ht="12.75">
      <c r="A13" s="9" t="s">
        <v>149</v>
      </c>
      <c r="B13" s="290"/>
      <c r="C13" s="95">
        <v>1577712.52</v>
      </c>
      <c r="D13" s="95">
        <v>13581.91</v>
      </c>
      <c r="E13" s="292"/>
      <c r="G13" s="289"/>
      <c r="H13" s="77"/>
      <c r="I13" s="10">
        <f>B13+C13+D13+F13-H13</f>
        <v>1591294.43</v>
      </c>
      <c r="J13" s="10">
        <v>1277003.78</v>
      </c>
    </row>
    <row r="14" spans="1:10" ht="12.75">
      <c r="A14" s="52" t="s">
        <v>6</v>
      </c>
      <c r="B14" s="95">
        <v>3223226</v>
      </c>
      <c r="E14" s="292"/>
      <c r="G14" s="317" t="s">
        <v>491</v>
      </c>
      <c r="H14" s="10">
        <f>'WK Consol adj'!F9</f>
        <v>3223226</v>
      </c>
      <c r="I14" s="10">
        <f>B14+C14+D14+F14-H14</f>
        <v>0</v>
      </c>
      <c r="J14" s="10">
        <v>0</v>
      </c>
    </row>
    <row r="15" spans="1:10" ht="12.75">
      <c r="A15" s="52" t="s">
        <v>18</v>
      </c>
      <c r="B15" s="95">
        <v>2500000</v>
      </c>
      <c r="E15" s="292"/>
      <c r="G15" s="317" t="s">
        <v>492</v>
      </c>
      <c r="H15" s="10">
        <f>'WK Consol adj'!F24</f>
        <v>2500000</v>
      </c>
      <c r="I15" s="10">
        <f>B15+C15+D15+F15-H15</f>
        <v>0</v>
      </c>
      <c r="J15" s="10">
        <v>0</v>
      </c>
    </row>
    <row r="16" spans="1:10" ht="12.75">
      <c r="A16" s="9" t="s">
        <v>238</v>
      </c>
      <c r="B16" s="302">
        <v>200000</v>
      </c>
      <c r="C16" s="302"/>
      <c r="E16" s="292"/>
      <c r="I16" s="10">
        <f>B16+C16+D16+F16-H16</f>
        <v>200000</v>
      </c>
      <c r="J16" s="10">
        <v>0</v>
      </c>
    </row>
    <row r="17" spans="1:10" ht="12.75">
      <c r="A17" s="9" t="s">
        <v>239</v>
      </c>
      <c r="B17" s="302"/>
      <c r="C17" s="302"/>
      <c r="D17" s="95">
        <v>135000</v>
      </c>
      <c r="E17" s="292"/>
      <c r="I17" s="10">
        <f>B17+C17+D17+F17-H17</f>
        <v>135000</v>
      </c>
      <c r="J17" s="10">
        <v>0</v>
      </c>
    </row>
    <row r="18" spans="1:10" ht="12.75">
      <c r="A18" s="9" t="s">
        <v>5</v>
      </c>
      <c r="E18" s="315" t="s">
        <v>491</v>
      </c>
      <c r="F18" s="10">
        <f>'WK Consol adj'!E7</f>
        <v>20740.54</v>
      </c>
      <c r="G18" s="317" t="s">
        <v>493</v>
      </c>
      <c r="H18" s="10">
        <f>+'WK Consol adj'!H37+116493</f>
        <v>145616.18</v>
      </c>
      <c r="I18" s="10">
        <f>B18+C18+D18+F18-H18+F19-0.3</f>
        <v>1601774.4100000001</v>
      </c>
      <c r="J18" s="10">
        <v>1718267.7085000002</v>
      </c>
    </row>
    <row r="19" spans="5:10" ht="12.75">
      <c r="E19" s="315" t="s">
        <v>492</v>
      </c>
      <c r="F19" s="10">
        <f>'WK Consol adj'!E22</f>
        <v>1726650.35</v>
      </c>
      <c r="G19" s="289"/>
      <c r="J19" s="10"/>
    </row>
    <row r="20" spans="1:10" ht="12.75">
      <c r="A20" s="9" t="s">
        <v>25</v>
      </c>
      <c r="G20" s="289"/>
      <c r="J20" s="10"/>
    </row>
    <row r="21" spans="1:10" ht="12.75">
      <c r="A21" s="16" t="s">
        <v>28</v>
      </c>
      <c r="B21" s="306"/>
      <c r="C21" s="303">
        <v>803525.85</v>
      </c>
      <c r="D21" s="306"/>
      <c r="E21" s="291"/>
      <c r="G21" s="289"/>
      <c r="I21" s="12">
        <f aca="true" t="shared" si="0" ref="I21:I26">B21+C21+D21+F21-H21</f>
        <v>803525.85</v>
      </c>
      <c r="J21" s="12">
        <v>735885.85</v>
      </c>
    </row>
    <row r="22" spans="1:10" ht="12.75">
      <c r="A22" s="16" t="s">
        <v>26</v>
      </c>
      <c r="B22" s="307">
        <v>2490</v>
      </c>
      <c r="C22" s="304">
        <v>533434.47</v>
      </c>
      <c r="D22" s="307">
        <f>947936.22+160000</f>
        <v>1107936.22</v>
      </c>
      <c r="E22" s="291"/>
      <c r="G22" s="289" t="s">
        <v>264</v>
      </c>
      <c r="H22" s="300">
        <f>+'WK Consol adj'!H42+'WK Consol adj'!G56+170044</f>
        <v>990312.51</v>
      </c>
      <c r="I22" s="13">
        <f t="shared" si="0"/>
        <v>653548.1799999999</v>
      </c>
      <c r="J22" s="13">
        <v>1658244</v>
      </c>
    </row>
    <row r="23" spans="1:10" ht="12.75">
      <c r="A23" s="16" t="s">
        <v>150</v>
      </c>
      <c r="B23" s="307">
        <f>2773.34+500</f>
        <v>3273.34</v>
      </c>
      <c r="C23" s="304">
        <f>274000+134884+2490680-16932</f>
        <v>2882632</v>
      </c>
      <c r="D23" s="307">
        <f>1082634.71-38820+5400</f>
        <v>1049214.71</v>
      </c>
      <c r="E23" s="291" t="s">
        <v>468</v>
      </c>
      <c r="F23" s="10">
        <f>+'WK Consol adj'!G61</f>
        <v>38820</v>
      </c>
      <c r="G23" s="289" t="s">
        <v>478</v>
      </c>
      <c r="H23" s="300">
        <f>+'WK Consol adj'!H47+'WK Consol adj'!H52-170044</f>
        <v>3403270.71</v>
      </c>
      <c r="I23" s="13">
        <f t="shared" si="0"/>
        <v>570669.3399999999</v>
      </c>
      <c r="J23" s="13">
        <v>435478.5</v>
      </c>
    </row>
    <row r="24" spans="1:10" ht="12.75">
      <c r="A24" s="16" t="s">
        <v>100</v>
      </c>
      <c r="B24" s="307">
        <v>10578514.18</v>
      </c>
      <c r="C24" s="95">
        <f>6203379-1203379+3502553</f>
        <v>8502553</v>
      </c>
      <c r="D24" s="307"/>
      <c r="E24" s="291"/>
      <c r="G24" s="289"/>
      <c r="I24" s="13">
        <f t="shared" si="0"/>
        <v>19081067.18</v>
      </c>
      <c r="J24" s="13">
        <v>3000000</v>
      </c>
    </row>
    <row r="25" spans="1:10" ht="12.75">
      <c r="A25" s="16" t="s">
        <v>42</v>
      </c>
      <c r="B25" s="307">
        <v>1002459.02</v>
      </c>
      <c r="C25" s="304">
        <f>25690.7</f>
        <v>25690.7</v>
      </c>
      <c r="D25" s="307"/>
      <c r="E25" s="291"/>
      <c r="G25" s="289"/>
      <c r="I25" s="13">
        <f>B25+C25+D25+F25-H25-0.5</f>
        <v>1028149.22</v>
      </c>
      <c r="J25" s="13">
        <v>900000</v>
      </c>
    </row>
    <row r="26" spans="1:10" ht="12.75">
      <c r="A26" s="16" t="s">
        <v>27</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29</v>
      </c>
      <c r="G29" s="289"/>
      <c r="J29" s="10"/>
    </row>
    <row r="30" spans="1:10" ht="12.75">
      <c r="A30" s="16" t="s">
        <v>30</v>
      </c>
      <c r="B30" s="325"/>
      <c r="C30" s="306">
        <v>1337631.54</v>
      </c>
      <c r="D30" s="303">
        <v>368.46</v>
      </c>
      <c r="E30" s="291" t="s">
        <v>479</v>
      </c>
      <c r="F30" s="300">
        <f>+'WK Consol adj'!G56</f>
        <v>766522.22</v>
      </c>
      <c r="G30" s="293"/>
      <c r="I30" s="12">
        <f>B30+C30+D30-F30+H30</f>
        <v>571477.78</v>
      </c>
      <c r="J30" s="12">
        <v>876954.9</v>
      </c>
    </row>
    <row r="31" spans="1:10" ht="12.75">
      <c r="A31" s="16" t="s">
        <v>31</v>
      </c>
      <c r="B31" s="326">
        <f>80636.19+2490680-38820+41425</f>
        <v>2573921.19</v>
      </c>
      <c r="C31" s="307">
        <f>280550+1082634.71+305187</f>
        <v>1668371.71</v>
      </c>
      <c r="D31" s="304">
        <f>7216.51+3275+9125</f>
        <v>19616.510000000002</v>
      </c>
      <c r="E31" s="291" t="s">
        <v>477</v>
      </c>
      <c r="F31" s="300">
        <f>+'WK Consol adj'!G41+'WK Consol adj'!G46+'WK Consol adj'!G51</f>
        <v>3627061</v>
      </c>
      <c r="G31" s="313" t="s">
        <v>490</v>
      </c>
      <c r="H31" s="10">
        <f>+'WK Consol adj'!G61</f>
        <v>38820</v>
      </c>
      <c r="I31" s="13">
        <f>B31+C31+D31-F31+H31</f>
        <v>673668.4100000001</v>
      </c>
      <c r="J31" s="13">
        <v>1280094.5</v>
      </c>
    </row>
    <row r="32" spans="1:10" ht="12.75">
      <c r="A32" s="16" t="s">
        <v>28</v>
      </c>
      <c r="B32" s="327"/>
      <c r="C32" s="307">
        <v>2823464</v>
      </c>
      <c r="D32" s="304"/>
      <c r="E32" s="291"/>
      <c r="G32" s="289"/>
      <c r="I32" s="13">
        <f>B32+C32+D32-F32+H32</f>
        <v>2823464</v>
      </c>
      <c r="J32" s="322">
        <v>0</v>
      </c>
    </row>
    <row r="33" spans="1:10" ht="12.75">
      <c r="A33" s="16" t="s">
        <v>32</v>
      </c>
      <c r="B33" s="327">
        <f>10000</f>
        <v>10000</v>
      </c>
      <c r="C33" s="307">
        <v>56006.08</v>
      </c>
      <c r="D33" s="304"/>
      <c r="E33" s="291"/>
      <c r="G33" s="289"/>
      <c r="I33" s="13">
        <f>B33+C33+D33-F33+H33</f>
        <v>66006.08</v>
      </c>
      <c r="J33" s="13">
        <v>261761.87</v>
      </c>
    </row>
    <row r="34" spans="1:10" ht="12.75">
      <c r="A34" s="128" t="s">
        <v>249</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33</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34</v>
      </c>
      <c r="B41" s="89"/>
      <c r="G41" s="289"/>
      <c r="J41" s="10"/>
    </row>
    <row r="42" spans="2:10" ht="12.75">
      <c r="B42" s="89"/>
      <c r="G42" s="289"/>
      <c r="J42" s="10"/>
    </row>
    <row r="43" spans="1:10" ht="12.75">
      <c r="A43" s="9" t="s">
        <v>35</v>
      </c>
      <c r="B43" s="89">
        <v>9723226</v>
      </c>
      <c r="C43" s="95">
        <v>3223226.48</v>
      </c>
      <c r="D43" s="95">
        <v>35000</v>
      </c>
      <c r="E43" s="126" t="s">
        <v>245</v>
      </c>
      <c r="F43" s="10">
        <f>'WK Consol adj'!E6+'WK Consol adj'!E21+0.48</f>
        <v>3258226.48</v>
      </c>
      <c r="G43" s="289"/>
      <c r="H43" s="10">
        <v>0</v>
      </c>
      <c r="I43" s="10">
        <f>+B43+C43+D43-F43+H43</f>
        <v>9723226</v>
      </c>
      <c r="J43" s="10">
        <v>6723226.48</v>
      </c>
    </row>
    <row r="44" spans="1:10" ht="12.75">
      <c r="A44" s="9" t="s">
        <v>36</v>
      </c>
      <c r="B44" s="89">
        <v>5564425.62</v>
      </c>
      <c r="F44" s="10">
        <v>0</v>
      </c>
      <c r="G44" s="289"/>
      <c r="I44" s="10">
        <f>+B44+C44+D44-F44+H44</f>
        <v>5564425.62</v>
      </c>
      <c r="J44" s="10" t="s">
        <v>48</v>
      </c>
    </row>
    <row r="45" spans="1:10" ht="12.75">
      <c r="A45" s="9" t="s">
        <v>43</v>
      </c>
      <c r="B45" s="92">
        <v>79491.36</v>
      </c>
      <c r="C45" s="302">
        <v>2148211.94</v>
      </c>
      <c r="D45" s="95">
        <f>2774273.65+160000</f>
        <v>2934273.65</v>
      </c>
      <c r="E45" s="315" t="s">
        <v>492</v>
      </c>
      <c r="F45" s="10">
        <f>'WK Consol adj'!E23</f>
        <v>738349.65</v>
      </c>
      <c r="G45" s="314" t="s">
        <v>491</v>
      </c>
      <c r="H45" s="10">
        <f>'WK Consol adj'!F8</f>
        <v>20740.54</v>
      </c>
      <c r="I45" s="10">
        <f>+B45+C45+D45-F45-F46+H45</f>
        <v>4298751.659999999</v>
      </c>
      <c r="J45" s="10">
        <v>1254577.3985000001</v>
      </c>
    </row>
    <row r="46" spans="1:10" ht="12.75">
      <c r="A46" s="9"/>
      <c r="B46" s="310"/>
      <c r="C46" s="310"/>
      <c r="D46" s="310"/>
      <c r="E46" s="316" t="s">
        <v>493</v>
      </c>
      <c r="F46" s="10">
        <f>+'WK Consol adj'!G36+116493</f>
        <v>145616.18</v>
      </c>
      <c r="G46" s="289"/>
      <c r="I46" s="17"/>
      <c r="J46" s="17"/>
    </row>
    <row r="47" spans="1:10" ht="12.75">
      <c r="A47" s="9" t="s">
        <v>37</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44</v>
      </c>
      <c r="G49" s="289"/>
      <c r="J49" s="10"/>
    </row>
    <row r="50" spans="1:10" ht="12.75">
      <c r="A50" s="16" t="s">
        <v>45</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241</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6"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49"/>
  <sheetViews>
    <sheetView zoomScaleSheetLayoutView="100" zoomScalePageLayoutView="0" workbookViewId="0" topLeftCell="A19">
      <selection activeCell="J8" sqref="J8"/>
    </sheetView>
  </sheetViews>
  <sheetFormatPr defaultColWidth="9.140625" defaultRowHeight="12.75" outlineLevelCol="1"/>
  <cols>
    <col min="1" max="1" width="22.8515625" style="0" customWidth="1"/>
    <col min="2" max="2" width="2.7109375" style="0" customWidth="1"/>
    <col min="3" max="3" width="17.8515625" style="0" customWidth="1"/>
    <col min="4" max="4" width="2.7109375" style="0" customWidth="1"/>
    <col min="5" max="5" width="17.7109375" style="0" customWidth="1" outlineLevel="1"/>
    <col min="6" max="6" width="2.7109375" style="0" customWidth="1"/>
    <col min="7" max="7" width="14.8515625" style="0" bestFit="1" customWidth="1"/>
    <col min="8" max="8" width="2.7109375" style="0" customWidth="1"/>
    <col min="9" max="9" width="17.7109375" style="0" bestFit="1" customWidth="1"/>
    <col min="10" max="10" width="13.57421875" style="0" customWidth="1"/>
  </cols>
  <sheetData>
    <row r="2" spans="3:7" ht="12.75">
      <c r="C2" s="422" t="s">
        <v>554</v>
      </c>
      <c r="D2" s="422"/>
      <c r="E2" s="422"/>
      <c r="F2" s="422"/>
      <c r="G2" s="422"/>
    </row>
    <row r="3" spans="3:7" ht="12.75">
      <c r="C3" s="422" t="s">
        <v>555</v>
      </c>
      <c r="D3" s="422"/>
      <c r="E3" s="422"/>
      <c r="F3" s="422"/>
      <c r="G3" s="422"/>
    </row>
    <row r="4" spans="3:7" ht="12.75">
      <c r="C4" s="422" t="s">
        <v>62</v>
      </c>
      <c r="D4" s="422"/>
      <c r="E4" s="422"/>
      <c r="F4" s="422"/>
      <c r="G4" s="422"/>
    </row>
    <row r="5" spans="1:9" ht="13.5" thickBot="1">
      <c r="A5" s="345"/>
      <c r="B5" s="345"/>
      <c r="C5" s="345"/>
      <c r="D5" s="345"/>
      <c r="E5" s="345"/>
      <c r="F5" s="345"/>
      <c r="G5" s="345"/>
      <c r="H5" s="345"/>
      <c r="I5" s="345"/>
    </row>
    <row r="6" spans="1:9" ht="12.75">
      <c r="A6" s="423" t="s">
        <v>636</v>
      </c>
      <c r="B6" s="423"/>
      <c r="C6" s="423"/>
      <c r="D6" s="423"/>
      <c r="E6" s="423"/>
      <c r="F6" s="423"/>
      <c r="G6" s="423"/>
      <c r="H6" s="423"/>
      <c r="I6" s="423"/>
    </row>
    <row r="7" spans="1:9" ht="13.5" thickBot="1">
      <c r="A7" s="421" t="s">
        <v>635</v>
      </c>
      <c r="B7" s="421"/>
      <c r="C7" s="421"/>
      <c r="D7" s="421"/>
      <c r="E7" s="421"/>
      <c r="F7" s="421"/>
      <c r="G7" s="421"/>
      <c r="H7" s="421"/>
      <c r="I7" s="421"/>
    </row>
    <row r="8" ht="12.75">
      <c r="C8" t="s">
        <v>559</v>
      </c>
    </row>
    <row r="9" spans="1:9" ht="12.75">
      <c r="A9" s="422" t="s">
        <v>588</v>
      </c>
      <c r="B9" s="422"/>
      <c r="C9" s="422"/>
      <c r="D9" s="422"/>
      <c r="E9" s="422"/>
      <c r="F9" s="422"/>
      <c r="G9" s="422"/>
      <c r="H9" s="422"/>
      <c r="I9" s="422"/>
    </row>
    <row r="10" ht="12.75">
      <c r="A10" s="9"/>
    </row>
    <row r="11" spans="3:9" ht="12.75">
      <c r="C11" s="422" t="s">
        <v>513</v>
      </c>
      <c r="D11" s="422"/>
      <c r="E11" s="422"/>
      <c r="F11" s="67"/>
      <c r="G11" s="422" t="s">
        <v>514</v>
      </c>
      <c r="H11" s="422"/>
      <c r="I11" s="422"/>
    </row>
    <row r="12" spans="3:9" ht="12.75">
      <c r="C12" s="67"/>
      <c r="D12" s="67"/>
      <c r="E12" s="67"/>
      <c r="F12" s="67"/>
      <c r="G12" s="67"/>
      <c r="H12" s="67"/>
      <c r="I12" s="67"/>
    </row>
    <row r="13" spans="4:9" ht="12.75">
      <c r="D13" s="67"/>
      <c r="F13" s="67"/>
      <c r="G13" s="67" t="s">
        <v>515</v>
      </c>
      <c r="H13" s="67"/>
      <c r="I13" s="67" t="s">
        <v>516</v>
      </c>
    </row>
    <row r="14" spans="3:9" ht="12.75">
      <c r="C14" s="67" t="s">
        <v>515</v>
      </c>
      <c r="D14" s="67"/>
      <c r="E14" s="67" t="s">
        <v>516</v>
      </c>
      <c r="F14" s="67"/>
      <c r="G14" s="67" t="s">
        <v>538</v>
      </c>
      <c r="H14" s="67"/>
      <c r="I14" s="67" t="s">
        <v>538</v>
      </c>
    </row>
    <row r="15" spans="3:9" ht="12.75">
      <c r="C15" s="67" t="s">
        <v>525</v>
      </c>
      <c r="D15" s="67"/>
      <c r="E15" s="67" t="s">
        <v>525</v>
      </c>
      <c r="F15" s="67"/>
      <c r="G15" s="67" t="s">
        <v>539</v>
      </c>
      <c r="H15" s="67"/>
      <c r="I15" s="67" t="s">
        <v>539</v>
      </c>
    </row>
    <row r="16" spans="3:9" ht="12.75">
      <c r="C16" s="346">
        <v>40147</v>
      </c>
      <c r="D16" s="346"/>
      <c r="E16" s="346">
        <v>39782</v>
      </c>
      <c r="F16" s="346"/>
      <c r="G16" s="347">
        <f>C16</f>
        <v>40147</v>
      </c>
      <c r="H16" s="347"/>
      <c r="I16" s="347">
        <f>E16</f>
        <v>39782</v>
      </c>
    </row>
    <row r="17" spans="3:9" ht="12.75">
      <c r="C17" s="347" t="s">
        <v>48</v>
      </c>
      <c r="D17" s="346"/>
      <c r="E17" s="347"/>
      <c r="F17" s="346"/>
      <c r="G17" s="347" t="s">
        <v>48</v>
      </c>
      <c r="H17" s="347"/>
      <c r="I17" s="347"/>
    </row>
    <row r="18" spans="3:9" ht="12.75">
      <c r="C18" s="67" t="s">
        <v>4</v>
      </c>
      <c r="D18" s="67"/>
      <c r="E18" s="67" t="s">
        <v>4</v>
      </c>
      <c r="F18" s="67"/>
      <c r="G18" s="67" t="str">
        <f>C18</f>
        <v>RM</v>
      </c>
      <c r="H18" s="67"/>
      <c r="I18" s="67" t="str">
        <f>E18</f>
        <v>RM</v>
      </c>
    </row>
    <row r="20" spans="1:9" s="9" customFormat="1" ht="13.5" thickBot="1">
      <c r="A20" s="9" t="s">
        <v>151</v>
      </c>
      <c r="C20" s="356">
        <f>G20-5934447</f>
        <v>6272126</v>
      </c>
      <c r="D20" s="80"/>
      <c r="E20" s="411">
        <v>4285524</v>
      </c>
      <c r="F20" s="80"/>
      <c r="G20" s="356">
        <v>12206573</v>
      </c>
      <c r="H20" s="80"/>
      <c r="I20" s="408">
        <v>8393666</v>
      </c>
    </row>
    <row r="21" spans="3:9" ht="13.5" thickTop="1">
      <c r="C21" s="409"/>
      <c r="D21" s="35"/>
      <c r="E21" s="64"/>
      <c r="F21" s="35"/>
      <c r="G21" s="409"/>
      <c r="H21" s="35"/>
      <c r="I21" s="26"/>
    </row>
    <row r="22" spans="1:9" ht="12.75">
      <c r="A22" s="9" t="s">
        <v>517</v>
      </c>
      <c r="C22" s="377">
        <f>G22-1905723</f>
        <v>1651911</v>
      </c>
      <c r="D22" s="80"/>
      <c r="E22" s="64">
        <v>1060208</v>
      </c>
      <c r="F22" s="80"/>
      <c r="G22" s="80">
        <f>1308911-SUM(G23:G29)</f>
        <v>3557634</v>
      </c>
      <c r="H22" s="80"/>
      <c r="I22" s="19">
        <v>1825344</v>
      </c>
    </row>
    <row r="23" spans="1:9" ht="12.75">
      <c r="A23" s="9"/>
      <c r="C23" s="377"/>
      <c r="D23" s="10"/>
      <c r="E23" s="64"/>
      <c r="F23" s="10"/>
      <c r="G23" s="80"/>
      <c r="H23" s="10"/>
      <c r="I23" s="19"/>
    </row>
    <row r="24" spans="1:9" ht="12.75">
      <c r="A24" t="s">
        <v>518</v>
      </c>
      <c r="C24" s="377">
        <f>G24--459806</f>
        <v>-475409</v>
      </c>
      <c r="D24" s="10"/>
      <c r="E24" s="64">
        <v>-418976</v>
      </c>
      <c r="F24" s="10"/>
      <c r="G24" s="80">
        <v>-935215</v>
      </c>
      <c r="H24" s="80"/>
      <c r="I24" s="19">
        <v>-751152</v>
      </c>
    </row>
    <row r="25" spans="1:9" ht="12.75">
      <c r="A25" s="9"/>
      <c r="C25" s="377"/>
      <c r="D25" s="10"/>
      <c r="E25" s="64"/>
      <c r="F25" s="10"/>
      <c r="G25" s="80"/>
      <c r="H25" s="80"/>
      <c r="I25" s="19"/>
    </row>
    <row r="26" spans="1:9" ht="12.75">
      <c r="A26" t="s">
        <v>522</v>
      </c>
      <c r="C26" s="377"/>
      <c r="D26" s="10"/>
      <c r="E26" s="64"/>
      <c r="F26" s="10"/>
      <c r="G26" s="80"/>
      <c r="H26" s="80"/>
      <c r="I26" s="19"/>
    </row>
    <row r="27" spans="1:9" ht="12.75">
      <c r="A27" t="s">
        <v>521</v>
      </c>
      <c r="C27" s="377">
        <f>G27--637966</f>
        <v>-682796</v>
      </c>
      <c r="D27" s="10"/>
      <c r="E27" s="64">
        <v>-558055</v>
      </c>
      <c r="F27" s="10"/>
      <c r="G27" s="381">
        <v>-1320762</v>
      </c>
      <c r="H27" s="80"/>
      <c r="I27" s="19">
        <v>-783486</v>
      </c>
    </row>
    <row r="28" spans="3:9" ht="12.75">
      <c r="C28" s="377"/>
      <c r="D28" s="10"/>
      <c r="E28" s="64"/>
      <c r="F28" s="10"/>
      <c r="G28" s="80"/>
      <c r="H28" s="80"/>
      <c r="I28" s="19"/>
    </row>
    <row r="29" spans="1:9" ht="12.75">
      <c r="A29" t="s">
        <v>297</v>
      </c>
      <c r="C29" s="377">
        <f>G29-5080</f>
        <v>2174</v>
      </c>
      <c r="D29" s="10"/>
      <c r="E29" s="64">
        <v>4136</v>
      </c>
      <c r="F29" s="10"/>
      <c r="G29" s="80">
        <v>7254</v>
      </c>
      <c r="H29" s="80"/>
      <c r="I29" s="19">
        <v>32159</v>
      </c>
    </row>
    <row r="30" spans="3:9" ht="12.75">
      <c r="C30" s="410"/>
      <c r="D30" s="10"/>
      <c r="E30" s="65"/>
      <c r="F30" s="10"/>
      <c r="G30" s="410"/>
      <c r="H30" s="80"/>
      <c r="I30" s="18"/>
    </row>
    <row r="31" spans="1:9" s="9" customFormat="1" ht="12.75">
      <c r="A31" s="9" t="s">
        <v>207</v>
      </c>
      <c r="C31" s="80">
        <f>ROUNDUP(SUM(C22:C30),0)</f>
        <v>495880</v>
      </c>
      <c r="D31" s="80"/>
      <c r="E31" s="19">
        <f>SUM(E22:E30)</f>
        <v>87313</v>
      </c>
      <c r="F31" s="80"/>
      <c r="G31" s="80">
        <f>ROUNDUP(SUM(G22:G30),0)</f>
        <v>1308911</v>
      </c>
      <c r="H31" s="80"/>
      <c r="I31" s="19">
        <f>SUM(I22:I30)</f>
        <v>322865</v>
      </c>
    </row>
    <row r="32" spans="3:9" ht="12.75">
      <c r="C32" s="80"/>
      <c r="D32" s="10"/>
      <c r="E32" s="64"/>
      <c r="F32" s="10"/>
      <c r="G32" s="80"/>
      <c r="H32" s="80"/>
      <c r="I32" s="19"/>
    </row>
    <row r="33" spans="1:9" ht="12.75">
      <c r="A33" t="s">
        <v>103</v>
      </c>
      <c r="C33" s="377">
        <f>G33--63137</f>
        <v>-86103</v>
      </c>
      <c r="D33" s="10"/>
      <c r="E33" s="64">
        <v>-56460</v>
      </c>
      <c r="F33" s="10"/>
      <c r="G33" s="80">
        <v>-149240</v>
      </c>
      <c r="H33" s="80"/>
      <c r="I33" s="19">
        <v>-115937</v>
      </c>
    </row>
    <row r="34" spans="3:9" ht="12.75">
      <c r="C34" s="410"/>
      <c r="D34" s="10"/>
      <c r="E34" s="65"/>
      <c r="F34" s="10"/>
      <c r="G34" s="410"/>
      <c r="H34" s="10"/>
      <c r="I34" s="18"/>
    </row>
    <row r="35" spans="1:9" s="9" customFormat="1" ht="13.5" thickBot="1">
      <c r="A35" s="9" t="s">
        <v>160</v>
      </c>
      <c r="C35" s="352">
        <f>SUM(C31:C33)</f>
        <v>409777</v>
      </c>
      <c r="D35" s="80"/>
      <c r="E35" s="41">
        <f>SUM(E31:E33)</f>
        <v>30853</v>
      </c>
      <c r="F35" s="80"/>
      <c r="G35" s="352">
        <f>SUM(G31:G33)</f>
        <v>1159671</v>
      </c>
      <c r="H35" s="80"/>
      <c r="I35" s="41">
        <f>SUM(I31:I33)</f>
        <v>206928</v>
      </c>
    </row>
    <row r="36" spans="3:9" ht="13.5" thickTop="1">
      <c r="C36" s="392"/>
      <c r="E36" s="16"/>
      <c r="G36" s="392"/>
      <c r="I36" s="25"/>
    </row>
    <row r="37" spans="1:9" ht="12.75">
      <c r="A37" s="9" t="s">
        <v>546</v>
      </c>
      <c r="C37" s="392"/>
      <c r="E37" s="16"/>
      <c r="G37" s="392"/>
      <c r="I37" s="25"/>
    </row>
    <row r="38" spans="3:9" ht="3.75" customHeight="1">
      <c r="C38" s="392"/>
      <c r="E38" s="16"/>
      <c r="G38" s="392"/>
      <c r="I38" s="25"/>
    </row>
    <row r="39" spans="1:9" ht="12.75">
      <c r="A39" t="s">
        <v>547</v>
      </c>
      <c r="C39" s="409">
        <f>C41-C40</f>
        <v>409789</v>
      </c>
      <c r="E39" s="26">
        <f>E41-E40</f>
        <v>30848</v>
      </c>
      <c r="G39" s="409">
        <f>G41-G40</f>
        <v>1159666</v>
      </c>
      <c r="I39" s="26">
        <f>I41-I40</f>
        <v>206932</v>
      </c>
    </row>
    <row r="40" spans="1:9" ht="12.75">
      <c r="A40" t="s">
        <v>542</v>
      </c>
      <c r="C40" s="409">
        <f>G40-17</f>
        <v>-12</v>
      </c>
      <c r="E40" s="64">
        <v>5</v>
      </c>
      <c r="G40" s="80">
        <v>5</v>
      </c>
      <c r="I40" s="19">
        <v>-4</v>
      </c>
    </row>
    <row r="41" spans="3:9" ht="13.5" thickBot="1">
      <c r="C41" s="352">
        <f>C35</f>
        <v>409777</v>
      </c>
      <c r="E41" s="41">
        <f>E35</f>
        <v>30853</v>
      </c>
      <c r="G41" s="352">
        <f>G35</f>
        <v>1159671</v>
      </c>
      <c r="I41" s="41">
        <f>I35</f>
        <v>206928</v>
      </c>
    </row>
    <row r="42" spans="3:9" ht="13.5" thickTop="1">
      <c r="C42" s="48"/>
      <c r="E42" s="16"/>
      <c r="G42" s="48"/>
      <c r="I42" s="25"/>
    </row>
    <row r="43" spans="1:7" ht="12.75">
      <c r="A43" t="s">
        <v>162</v>
      </c>
      <c r="G43" s="9"/>
    </row>
    <row r="44" spans="1:10" ht="13.5" thickBot="1">
      <c r="A44" s="348" t="s">
        <v>519</v>
      </c>
      <c r="B44" s="348"/>
      <c r="C44" s="412">
        <f>C39/52967000*100</f>
        <v>0.7736685105820605</v>
      </c>
      <c r="D44" s="364"/>
      <c r="E44" s="407">
        <f>E39/52741962*100</f>
        <v>0.05848853328588725</v>
      </c>
      <c r="F44" s="364"/>
      <c r="G44" s="412">
        <f>G39/52967000*100</f>
        <v>2.1894122755678063</v>
      </c>
      <c r="H44" s="407"/>
      <c r="I44" s="407">
        <f>I39/52741962*100</f>
        <v>0.3923479373027496</v>
      </c>
      <c r="J44" s="383"/>
    </row>
    <row r="45" spans="3:9" ht="13.5" thickTop="1">
      <c r="C45" s="365"/>
      <c r="D45" s="364"/>
      <c r="E45" s="364"/>
      <c r="F45" s="364"/>
      <c r="G45" s="413"/>
      <c r="H45" s="330"/>
      <c r="I45" s="330"/>
    </row>
    <row r="46" spans="1:9" ht="13.5" thickBot="1">
      <c r="A46" s="348" t="s">
        <v>520</v>
      </c>
      <c r="B46" s="348"/>
      <c r="C46" s="414" t="s">
        <v>640</v>
      </c>
      <c r="D46" s="364"/>
      <c r="E46" s="407">
        <f>E41/53185015*100</f>
        <v>0.0580107009464978</v>
      </c>
      <c r="F46" s="364"/>
      <c r="G46" s="414" t="s">
        <v>640</v>
      </c>
      <c r="H46" s="330"/>
      <c r="I46" s="407">
        <f>I41/53185015*100</f>
        <v>0.3890719970653388</v>
      </c>
    </row>
    <row r="47" spans="3:9" ht="13.5" thickTop="1">
      <c r="C47" s="364"/>
      <c r="D47" s="364"/>
      <c r="E47" s="364"/>
      <c r="F47" s="364"/>
      <c r="G47" s="364"/>
      <c r="H47" s="364"/>
      <c r="I47" s="364"/>
    </row>
    <row r="49" spans="1:9" ht="24" customHeight="1">
      <c r="A49" s="420" t="s">
        <v>618</v>
      </c>
      <c r="B49" s="420"/>
      <c r="C49" s="420"/>
      <c r="D49" s="420"/>
      <c r="E49" s="420"/>
      <c r="F49" s="420"/>
      <c r="G49" s="420"/>
      <c r="H49" s="420"/>
      <c r="I49" s="420"/>
    </row>
  </sheetData>
  <sheetProtection/>
  <mergeCells count="9">
    <mergeCell ref="C2:G2"/>
    <mergeCell ref="C3:G3"/>
    <mergeCell ref="C4:G4"/>
    <mergeCell ref="A6:I6"/>
    <mergeCell ref="A49:I49"/>
    <mergeCell ref="A7:I7"/>
    <mergeCell ref="C11:E11"/>
    <mergeCell ref="G11:I11"/>
    <mergeCell ref="A9:I9"/>
  </mergeCells>
  <printOptions/>
  <pageMargins left="0.5" right="0" top="0.75" bottom="0" header="0.5" footer="0.5"/>
  <pageSetup fitToHeight="1" fitToWidth="1" horizontalDpi="600" verticalDpi="600" orientation="portrait" paperSize="9" scale="96"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2:H75"/>
  <sheetViews>
    <sheetView zoomScalePageLayoutView="0" workbookViewId="0" topLeftCell="A23">
      <selection activeCell="A67" sqref="A67"/>
    </sheetView>
  </sheetViews>
  <sheetFormatPr defaultColWidth="9.140625" defaultRowHeight="12.75"/>
  <cols>
    <col min="1" max="1" width="4.00390625" style="9" customWidth="1"/>
    <col min="2" max="2" width="23.00390625" style="0" customWidth="1"/>
    <col min="3" max="3" width="16.7109375" style="0" customWidth="1"/>
    <col min="4" max="4" width="17.57421875" style="0" customWidth="1"/>
    <col min="5" max="5" width="2.7109375" style="0" customWidth="1"/>
    <col min="6" max="6" width="18.140625" style="0" bestFit="1" customWidth="1"/>
    <col min="7" max="7" width="13.57421875" style="0" customWidth="1"/>
    <col min="8" max="8" width="11.28125" style="0" bestFit="1" customWidth="1"/>
  </cols>
  <sheetData>
    <row r="2" spans="1:6" ht="12.75">
      <c r="A2" s="422" t="str">
        <f>'Income Statement'!C2</f>
        <v>ES CERAMICS TECHNOLOGY BHD</v>
      </c>
      <c r="B2" s="422"/>
      <c r="C2" s="422"/>
      <c r="D2" s="422"/>
      <c r="E2" s="422"/>
      <c r="F2" s="422"/>
    </row>
    <row r="3" spans="1:6" ht="12.75">
      <c r="A3" s="422" t="str">
        <f>'Income Statement'!C3</f>
        <v>Company No. 627117-P</v>
      </c>
      <c r="B3" s="422"/>
      <c r="C3" s="422"/>
      <c r="D3" s="422"/>
      <c r="E3" s="422"/>
      <c r="F3" s="422"/>
    </row>
    <row r="4" spans="1:6" ht="12.75">
      <c r="A4" s="422" t="str">
        <f>'Income Statement'!C4</f>
        <v>(Incorporated in Malaysia)</v>
      </c>
      <c r="B4" s="422"/>
      <c r="C4" s="422"/>
      <c r="D4" s="422"/>
      <c r="E4" s="422"/>
      <c r="F4" s="422"/>
    </row>
    <row r="5" spans="1:6" ht="13.5" thickBot="1">
      <c r="A5" s="349"/>
      <c r="B5" s="345"/>
      <c r="C5" s="345"/>
      <c r="D5" s="345"/>
      <c r="E5" s="345"/>
      <c r="F5" s="345"/>
    </row>
    <row r="6" spans="1:6" ht="12.75">
      <c r="A6" s="423" t="str">
        <f>'Income Statement'!A6</f>
        <v>INTERIM FINANCIAL REPORT FOR THE SECOND QUARTER</v>
      </c>
      <c r="B6" s="423"/>
      <c r="C6" s="423"/>
      <c r="D6" s="423"/>
      <c r="E6" s="423"/>
      <c r="F6" s="423"/>
    </row>
    <row r="7" spans="1:6" ht="13.5" thickBot="1">
      <c r="A7" s="421" t="str">
        <f>'Income Statement'!A7</f>
        <v>ENDED 30 NOVEMBER 2009</v>
      </c>
      <c r="B7" s="421"/>
      <c r="C7" s="421"/>
      <c r="D7" s="421"/>
      <c r="E7" s="421"/>
      <c r="F7" s="421"/>
    </row>
    <row r="9" spans="1:6" ht="12.75">
      <c r="A9" s="422" t="s">
        <v>599</v>
      </c>
      <c r="B9" s="422"/>
      <c r="C9" s="422"/>
      <c r="D9" s="422"/>
      <c r="E9" s="422"/>
      <c r="F9" s="422"/>
    </row>
    <row r="10" spans="1:6" ht="12.75">
      <c r="A10" s="67"/>
      <c r="B10" s="67"/>
      <c r="C10" s="67"/>
      <c r="D10" s="67"/>
      <c r="E10" s="67"/>
      <c r="F10" s="67"/>
    </row>
    <row r="11" spans="4:6" ht="12.75">
      <c r="D11" s="88" t="s">
        <v>540</v>
      </c>
      <c r="E11" s="88"/>
      <c r="F11" s="88" t="s">
        <v>600</v>
      </c>
    </row>
    <row r="12" spans="4:6" ht="12.75">
      <c r="D12" s="88" t="s">
        <v>525</v>
      </c>
      <c r="E12" s="88"/>
      <c r="F12" s="88" t="s">
        <v>601</v>
      </c>
    </row>
    <row r="13" spans="4:6" ht="12.75">
      <c r="D13" s="401">
        <f>'Income Statement'!C16</f>
        <v>40147</v>
      </c>
      <c r="E13" s="88"/>
      <c r="F13" s="402">
        <v>39964</v>
      </c>
    </row>
    <row r="14" spans="4:6" ht="12.75">
      <c r="D14" s="403" t="s">
        <v>598</v>
      </c>
      <c r="E14" s="403"/>
      <c r="F14" s="403" t="s">
        <v>523</v>
      </c>
    </row>
    <row r="15" spans="4:6" ht="12.75">
      <c r="D15" s="401"/>
      <c r="E15" s="401"/>
      <c r="F15" s="403"/>
    </row>
    <row r="16" spans="4:6" ht="12.75">
      <c r="D16" s="88" t="s">
        <v>4</v>
      </c>
      <c r="E16" s="88"/>
      <c r="F16" s="88" t="str">
        <f>D16</f>
        <v>RM</v>
      </c>
    </row>
    <row r="17" ht="12.75">
      <c r="A17" s="9" t="s">
        <v>604</v>
      </c>
    </row>
    <row r="19" ht="12.75">
      <c r="A19" s="9" t="s">
        <v>606</v>
      </c>
    </row>
    <row r="20" spans="1:8" s="9" customFormat="1" ht="12.75">
      <c r="A20" s="16"/>
      <c r="B20" s="16" t="s">
        <v>530</v>
      </c>
      <c r="D20" s="359">
        <f>'[4]CBS'!$W$9</f>
        <v>19309740.59862706</v>
      </c>
      <c r="E20" s="19"/>
      <c r="F20" s="19">
        <v>20228920</v>
      </c>
      <c r="H20" s="378"/>
    </row>
    <row r="21" spans="1:8" s="9" customFormat="1" ht="12.75">
      <c r="A21" s="16"/>
      <c r="B21" s="16" t="s">
        <v>609</v>
      </c>
      <c r="D21" s="359">
        <f>'[4]CBS'!$W$10</f>
        <v>2247423.875184632</v>
      </c>
      <c r="E21" s="19"/>
      <c r="F21" s="19">
        <v>2269126</v>
      </c>
      <c r="H21" s="378"/>
    </row>
    <row r="22" spans="1:8" s="9" customFormat="1" ht="12.75">
      <c r="A22" s="16"/>
      <c r="B22" s="16" t="s">
        <v>607</v>
      </c>
      <c r="D22" s="359">
        <f>SUM('[4]CBS'!$W$16:$W$18)</f>
        <v>3886810.425789423</v>
      </c>
      <c r="E22" s="26"/>
      <c r="F22" s="19">
        <v>3881826</v>
      </c>
      <c r="H22" s="378"/>
    </row>
    <row r="23" spans="1:8" s="9" customFormat="1" ht="12.75">
      <c r="A23" s="16"/>
      <c r="B23" s="16" t="s">
        <v>608</v>
      </c>
      <c r="D23" s="359">
        <f>'[4]CBS'!$W$14</f>
        <v>1500000</v>
      </c>
      <c r="E23" s="26"/>
      <c r="F23" s="19">
        <f>'[3]CBS'!$W$14</f>
        <v>1500000</v>
      </c>
      <c r="H23" s="378"/>
    </row>
    <row r="24" spans="4:8" s="9" customFormat="1" ht="12.75">
      <c r="D24" s="358">
        <f>ROUNDUP(SUM(D20:D23),0)</f>
        <v>26943975</v>
      </c>
      <c r="E24" s="26"/>
      <c r="F24" s="358">
        <f>SUM(F20:F23)</f>
        <v>27879872</v>
      </c>
      <c r="H24" s="378"/>
    </row>
    <row r="25" spans="4:8" s="9" customFormat="1" ht="12.75">
      <c r="D25" s="359"/>
      <c r="E25" s="26"/>
      <c r="F25" s="19"/>
      <c r="H25" s="378"/>
    </row>
    <row r="26" spans="1:8" ht="12.75">
      <c r="A26" s="9" t="s">
        <v>25</v>
      </c>
      <c r="D26" s="359"/>
      <c r="E26" s="26"/>
      <c r="F26" s="19"/>
      <c r="H26" s="378"/>
    </row>
    <row r="27" spans="2:8" ht="12.75">
      <c r="B27" t="s">
        <v>526</v>
      </c>
      <c r="C27" s="386"/>
      <c r="D27" s="360">
        <f>'[4]CBS'!$W$22</f>
        <v>5772598.265838581</v>
      </c>
      <c r="E27" s="26"/>
      <c r="F27" s="354">
        <v>5859076</v>
      </c>
      <c r="H27" s="378"/>
    </row>
    <row r="28" spans="2:8" ht="12.75">
      <c r="B28" t="s">
        <v>602</v>
      </c>
      <c r="C28" s="386"/>
      <c r="D28" s="361">
        <f>'[4]CBS'!$W$23+'[4]CBS'!$W$24</f>
        <v>8832882.365243029</v>
      </c>
      <c r="E28" s="26"/>
      <c r="F28" s="355">
        <v>7767163</v>
      </c>
      <c r="H28" s="378"/>
    </row>
    <row r="29" spans="2:8" ht="12.75">
      <c r="B29" t="s">
        <v>614</v>
      </c>
      <c r="C29" s="386"/>
      <c r="D29" s="361">
        <f>'[4]CBS'!$W$29</f>
        <v>731508.1799999999</v>
      </c>
      <c r="E29" s="26"/>
      <c r="F29" s="355">
        <v>795827</v>
      </c>
      <c r="H29" s="378"/>
    </row>
    <row r="30" spans="2:8" ht="12.75">
      <c r="B30" t="s">
        <v>615</v>
      </c>
      <c r="C30" s="386"/>
      <c r="D30" s="361">
        <f>'[4]CBS'!$W$30</f>
        <v>3675061.7313087257</v>
      </c>
      <c r="E30" s="26"/>
      <c r="F30" s="374">
        <v>4384137</v>
      </c>
      <c r="H30" s="378"/>
    </row>
    <row r="31" spans="3:8" ht="12.75">
      <c r="C31" s="388"/>
      <c r="D31" s="358">
        <f>ROUNDDOWN(SUM(D27:D30),0)</f>
        <v>19012050</v>
      </c>
      <c r="E31" s="26"/>
      <c r="F31" s="26">
        <f>SUM(F27:F30)</f>
        <v>18806203</v>
      </c>
      <c r="G31" s="21"/>
      <c r="H31" s="378"/>
    </row>
    <row r="32" spans="4:8" s="9" customFormat="1" ht="12.75">
      <c r="D32" s="26"/>
      <c r="E32" s="26"/>
      <c r="F32" s="26"/>
      <c r="H32" s="378"/>
    </row>
    <row r="33" spans="1:8" s="9" customFormat="1" ht="13.5" thickBot="1">
      <c r="A33" s="9" t="s">
        <v>603</v>
      </c>
      <c r="D33" s="41">
        <f>D24+D31</f>
        <v>45956025</v>
      </c>
      <c r="E33" s="26"/>
      <c r="F33" s="41">
        <f>F24+F31</f>
        <v>46686075</v>
      </c>
      <c r="H33" s="378"/>
    </row>
    <row r="34" spans="4:8" s="9" customFormat="1" ht="13.5" thickTop="1">
      <c r="D34" s="387"/>
      <c r="E34" s="26"/>
      <c r="F34" s="26"/>
      <c r="H34" s="378"/>
    </row>
    <row r="35" spans="1:8" s="9" customFormat="1" ht="12.75">
      <c r="A35" s="9" t="s">
        <v>605</v>
      </c>
      <c r="D35" s="387"/>
      <c r="E35" s="26"/>
      <c r="F35" s="26"/>
      <c r="H35" s="378"/>
    </row>
    <row r="36" spans="1:8" ht="12.75">
      <c r="A36" s="9" t="s">
        <v>625</v>
      </c>
      <c r="D36" s="19"/>
      <c r="E36" s="26"/>
      <c r="F36" s="19"/>
      <c r="H36" s="378"/>
    </row>
    <row r="37" spans="2:8" ht="12.75">
      <c r="B37" t="s">
        <v>223</v>
      </c>
      <c r="C37" s="21"/>
      <c r="D37" s="389">
        <f>'[4]CBS'!$W$56</f>
        <v>5296699.6274999995</v>
      </c>
      <c r="E37" s="26"/>
      <c r="F37" s="354">
        <f>'[3]CBS'!$W$56</f>
        <v>5296700</v>
      </c>
      <c r="H37" s="378"/>
    </row>
    <row r="38" spans="2:8" ht="12.75">
      <c r="B38" t="s">
        <v>529</v>
      </c>
      <c r="C38" s="21"/>
      <c r="D38" s="390">
        <f>'[4]CBS'!$W$58</f>
        <v>3815775.3</v>
      </c>
      <c r="E38" s="26"/>
      <c r="F38" s="355">
        <f>'[3]CBS'!$W$58</f>
        <v>3815775</v>
      </c>
      <c r="H38" s="378"/>
    </row>
    <row r="39" spans="2:8" ht="12.75">
      <c r="B39" t="s">
        <v>541</v>
      </c>
      <c r="C39" s="21"/>
      <c r="D39" s="390">
        <f>'[4]CBS'!$W$60</f>
        <v>249027.2</v>
      </c>
      <c r="E39" s="26"/>
      <c r="F39" s="355">
        <v>249027</v>
      </c>
      <c r="H39" s="378"/>
    </row>
    <row r="40" spans="2:8" ht="12.75">
      <c r="B40" t="s">
        <v>543</v>
      </c>
      <c r="C40" s="21"/>
      <c r="D40" s="390">
        <f>'[4]CBS'!$W$61</f>
        <v>-453604.77373920387</v>
      </c>
      <c r="E40" s="26"/>
      <c r="F40" s="355">
        <v>63063</v>
      </c>
      <c r="H40" s="378"/>
    </row>
    <row r="41" spans="2:8" ht="12.75">
      <c r="B41" t="s">
        <v>534</v>
      </c>
      <c r="C41" s="21"/>
      <c r="D41" s="391">
        <f>'[4]CBS'!$W$62</f>
        <v>6256492.58761768</v>
      </c>
      <c r="E41" s="26"/>
      <c r="F41" s="374">
        <v>5061027</v>
      </c>
      <c r="H41" s="378"/>
    </row>
    <row r="42" spans="1:8" ht="12.75">
      <c r="A42" s="9" t="s">
        <v>535</v>
      </c>
      <c r="C42" s="21"/>
      <c r="D42" s="358">
        <f>SUM(D37:D41)</f>
        <v>15164389.941378474</v>
      </c>
      <c r="E42" s="26"/>
      <c r="F42" s="358">
        <f>SUM(F37:F41)</f>
        <v>14485592</v>
      </c>
      <c r="H42" s="378"/>
    </row>
    <row r="43" spans="1:8" ht="12.75">
      <c r="A43" s="9" t="s">
        <v>544</v>
      </c>
      <c r="C43" s="21"/>
      <c r="D43" s="26">
        <f>ROUNDDOWN('[4]CBS'!$W$65,0)</f>
        <v>240</v>
      </c>
      <c r="E43" s="26"/>
      <c r="F43" s="26">
        <v>217</v>
      </c>
      <c r="H43" s="378"/>
    </row>
    <row r="44" spans="1:8" ht="13.5" thickBot="1">
      <c r="A44" s="9" t="s">
        <v>610</v>
      </c>
      <c r="C44" s="21"/>
      <c r="D44" s="41">
        <f>SUM(D42:D43)</f>
        <v>15164629.941378474</v>
      </c>
      <c r="E44" s="26"/>
      <c r="F44" s="41">
        <f>SUM(F42:F43)</f>
        <v>14485809</v>
      </c>
      <c r="H44" s="378"/>
    </row>
    <row r="45" spans="1:8" ht="13.5" thickTop="1">
      <c r="A45" s="350"/>
      <c r="B45" s="348"/>
      <c r="C45" s="348"/>
      <c r="D45" s="48"/>
      <c r="E45" s="48"/>
      <c r="F45" s="48"/>
      <c r="H45" s="378"/>
    </row>
    <row r="46" spans="1:8" s="9" customFormat="1" ht="12.75">
      <c r="A46" s="9" t="s">
        <v>611</v>
      </c>
      <c r="D46" s="387"/>
      <c r="E46" s="26"/>
      <c r="F46" s="26"/>
      <c r="H46" s="378"/>
    </row>
    <row r="47" spans="1:8" ht="12.75">
      <c r="A47" s="9" t="s">
        <v>536</v>
      </c>
      <c r="B47" s="348"/>
      <c r="C47" s="348"/>
      <c r="D47" s="48"/>
      <c r="E47" s="48"/>
      <c r="F47" s="48"/>
      <c r="H47" s="378"/>
    </row>
    <row r="48" spans="1:8" ht="12.75">
      <c r="A48" s="350"/>
      <c r="B48" t="s">
        <v>532</v>
      </c>
      <c r="C48" s="21"/>
      <c r="D48" s="375">
        <f>'[4]CBS'!$W$70</f>
        <v>210967.25999999998</v>
      </c>
      <c r="E48" s="48"/>
      <c r="F48" s="12">
        <v>225299</v>
      </c>
      <c r="H48" s="378"/>
    </row>
    <row r="49" spans="1:8" ht="12.75">
      <c r="A49" s="350"/>
      <c r="B49" t="s">
        <v>537</v>
      </c>
      <c r="C49" s="21"/>
      <c r="D49" s="362">
        <f>'[4]CBS'!$W$71+'[4]CBS'!$W$72</f>
        <v>19250125.983924117</v>
      </c>
      <c r="E49" s="35"/>
      <c r="F49" s="13">
        <v>4376615</v>
      </c>
      <c r="H49" s="378"/>
    </row>
    <row r="50" spans="1:8" ht="12.75">
      <c r="A50" s="350"/>
      <c r="B50" t="s">
        <v>527</v>
      </c>
      <c r="C50" s="21"/>
      <c r="D50" s="376">
        <f>'[4]CBS'!$W$69</f>
        <v>628570</v>
      </c>
      <c r="E50" s="48"/>
      <c r="F50" s="13">
        <v>628570</v>
      </c>
      <c r="H50" s="378"/>
    </row>
    <row r="51" spans="1:8" ht="12.75">
      <c r="A51" s="350"/>
      <c r="B51" s="348"/>
      <c r="C51" s="385"/>
      <c r="D51" s="358">
        <f>SUM(D48:D50)</f>
        <v>20089663.24392412</v>
      </c>
      <c r="E51" s="26"/>
      <c r="F51" s="358">
        <f>SUM(F48:F50)</f>
        <v>5230484</v>
      </c>
      <c r="H51" s="378"/>
    </row>
    <row r="52" spans="1:6" ht="12.75">
      <c r="A52" s="350"/>
      <c r="B52" s="348"/>
      <c r="C52" s="348"/>
      <c r="D52" s="26"/>
      <c r="E52" s="48"/>
      <c r="F52" s="26"/>
    </row>
    <row r="53" spans="1:8" ht="12.75">
      <c r="A53" s="9" t="s">
        <v>531</v>
      </c>
      <c r="D53" s="388"/>
      <c r="E53" s="26"/>
      <c r="F53" s="26"/>
      <c r="H53" s="378"/>
    </row>
    <row r="54" spans="2:8" ht="12.75">
      <c r="B54" t="s">
        <v>617</v>
      </c>
      <c r="D54" s="375">
        <f>SUM('[4]CBS'!$W$36:$W$37)</f>
        <v>2218111.0021104338</v>
      </c>
      <c r="E54" s="26"/>
      <c r="F54" s="354">
        <v>3254946</v>
      </c>
      <c r="H54" s="378"/>
    </row>
    <row r="55" spans="2:8" ht="12.75">
      <c r="B55" t="s">
        <v>532</v>
      </c>
      <c r="D55" s="362">
        <f>'[4]CBS'!$W$42</f>
        <v>79164</v>
      </c>
      <c r="E55" s="26"/>
      <c r="F55" s="355">
        <v>88997</v>
      </c>
      <c r="H55" s="378"/>
    </row>
    <row r="56" spans="2:8" ht="12.75">
      <c r="B56" t="s">
        <v>537</v>
      </c>
      <c r="D56" s="362">
        <f>'[4]CBS'!$W$43</f>
        <v>4310947.804567758</v>
      </c>
      <c r="E56" s="26"/>
      <c r="F56" s="355">
        <f>5129197+15396477</f>
        <v>20525674</v>
      </c>
      <c r="H56" s="378"/>
    </row>
    <row r="57" spans="2:8" ht="12.75">
      <c r="B57" t="s">
        <v>533</v>
      </c>
      <c r="D57" s="362">
        <f>'[4]CBS'!$W$44+'[4]CBS'!$W$45</f>
        <v>4029048.02</v>
      </c>
      <c r="E57" s="26"/>
      <c r="F57" s="355">
        <f>387085+2511000</f>
        <v>2898085</v>
      </c>
      <c r="H57" s="378"/>
    </row>
    <row r="58" spans="2:8" ht="12.75">
      <c r="B58" t="s">
        <v>616</v>
      </c>
      <c r="D58" s="376">
        <f>'[4]CBS'!$W$46</f>
        <v>64460.84772797163</v>
      </c>
      <c r="E58" s="26"/>
      <c r="F58" s="374">
        <v>202080</v>
      </c>
      <c r="H58" s="378"/>
    </row>
    <row r="59" spans="4:8" ht="12.75">
      <c r="D59" s="358">
        <f>SUM(D54:D58)</f>
        <v>10701731.674406163</v>
      </c>
      <c r="E59" s="26"/>
      <c r="F59" s="358">
        <f>SUM(F54:F58)</f>
        <v>26969782</v>
      </c>
      <c r="G59" s="21"/>
      <c r="H59" s="378"/>
    </row>
    <row r="60" spans="4:8" ht="12.75">
      <c r="D60" s="26"/>
      <c r="E60" s="26"/>
      <c r="F60" s="26"/>
      <c r="G60" s="21"/>
      <c r="H60" s="378"/>
    </row>
    <row r="61" spans="1:8" ht="12.75">
      <c r="A61" s="9" t="s">
        <v>612</v>
      </c>
      <c r="D61" s="267">
        <f>D59+D51</f>
        <v>30791394.918330282</v>
      </c>
      <c r="E61" s="26"/>
      <c r="F61" s="267">
        <f>F59+F51</f>
        <v>32200266</v>
      </c>
      <c r="H61" s="378"/>
    </row>
    <row r="62" spans="5:8" s="9" customFormat="1" ht="12.75">
      <c r="E62" s="392"/>
      <c r="H62" s="378"/>
    </row>
    <row r="63" spans="1:8" ht="13.5" thickBot="1">
      <c r="A63" s="9" t="s">
        <v>613</v>
      </c>
      <c r="D63" s="41">
        <f>D61+D44</f>
        <v>45956024.859708756</v>
      </c>
      <c r="E63" s="26"/>
      <c r="F63" s="41">
        <f>F61+F44</f>
        <v>46686075</v>
      </c>
      <c r="H63" s="378"/>
    </row>
    <row r="64" spans="4:8" ht="13.5" thickTop="1">
      <c r="D64" s="19"/>
      <c r="E64" s="26"/>
      <c r="F64" s="19"/>
      <c r="H64" s="378"/>
    </row>
    <row r="65" spans="4:8" s="9" customFormat="1" ht="12.75">
      <c r="D65" s="19"/>
      <c r="E65" s="26"/>
      <c r="F65" s="19"/>
      <c r="H65" s="378"/>
    </row>
    <row r="66" spans="1:6" ht="12.75">
      <c r="A66" s="9" t="s">
        <v>552</v>
      </c>
      <c r="B66" s="348"/>
      <c r="C66" s="348"/>
      <c r="D66" s="48"/>
      <c r="E66" s="48"/>
      <c r="F66" s="48"/>
    </row>
    <row r="67" spans="1:6" ht="13.5" thickBot="1">
      <c r="A67" s="9" t="s">
        <v>553</v>
      </c>
      <c r="B67" s="348"/>
      <c r="C67" s="348"/>
      <c r="D67" s="353">
        <f>D44/D37*10</f>
        <v>28.63033777230834</v>
      </c>
      <c r="E67" s="48"/>
      <c r="F67" s="351">
        <f>F42/F37*10</f>
        <v>27.348333868257594</v>
      </c>
    </row>
    <row r="68" ht="13.5" thickTop="1">
      <c r="E68" s="48"/>
    </row>
    <row r="69" spans="1:5" ht="12.75">
      <c r="A69"/>
      <c r="D69" s="21"/>
      <c r="E69" s="48"/>
    </row>
    <row r="70" spans="1:6" ht="12.75">
      <c r="A70"/>
      <c r="D70" s="21"/>
      <c r="E70" s="233"/>
      <c r="F70" s="21">
        <f>F63-F33</f>
        <v>0</v>
      </c>
    </row>
    <row r="71" spans="1:8" ht="24.75" customHeight="1">
      <c r="A71" s="424" t="s">
        <v>619</v>
      </c>
      <c r="B71" s="424"/>
      <c r="C71" s="424"/>
      <c r="D71" s="424"/>
      <c r="E71" s="424"/>
      <c r="F71" s="424"/>
      <c r="G71" s="400"/>
      <c r="H71" s="400"/>
    </row>
    <row r="72" spans="1:5" ht="12.75">
      <c r="A72"/>
      <c r="E72" s="48"/>
    </row>
    <row r="73" spans="1:5" ht="12.75">
      <c r="A73"/>
      <c r="E73" s="48"/>
    </row>
    <row r="74" spans="1:5" ht="12.75">
      <c r="A74"/>
      <c r="E74" s="48"/>
    </row>
    <row r="75" ht="12.75">
      <c r="A75"/>
    </row>
  </sheetData>
  <sheetProtection/>
  <mergeCells count="7">
    <mergeCell ref="A71:F71"/>
    <mergeCell ref="A9:F9"/>
    <mergeCell ref="A7:F7"/>
    <mergeCell ref="A2:F2"/>
    <mergeCell ref="A3:F3"/>
    <mergeCell ref="A4:F4"/>
    <mergeCell ref="A6:F6"/>
  </mergeCells>
  <printOptions horizontalCentered="1"/>
  <pageMargins left="0" right="0" top="0.25" bottom="0" header="0.5" footer="0.5"/>
  <pageSetup fitToHeight="1" fitToWidth="1" horizontalDpi="600" verticalDpi="600" orientation="portrait" paperSize="9" scale="90"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O63"/>
  <sheetViews>
    <sheetView zoomScalePageLayoutView="0" workbookViewId="0" topLeftCell="A1">
      <selection activeCell="A51" sqref="A51"/>
    </sheetView>
  </sheetViews>
  <sheetFormatPr defaultColWidth="9.140625" defaultRowHeight="12.75"/>
  <cols>
    <col min="1" max="1" width="26.7109375" style="0" customWidth="1"/>
    <col min="2" max="2" width="2.7109375" style="0" customWidth="1"/>
    <col min="3" max="3" width="16.00390625" style="0" customWidth="1"/>
    <col min="4" max="4" width="2.7109375" style="0" customWidth="1"/>
    <col min="5" max="5" width="16.00390625" style="0" customWidth="1"/>
    <col min="6" max="6" width="2.7109375" style="0" customWidth="1"/>
    <col min="7" max="7" width="15.421875" style="0" bestFit="1" customWidth="1"/>
    <col min="8" max="8" width="2.7109375" style="0" customWidth="1"/>
    <col min="9" max="9" width="14.28125" style="10" bestFit="1" customWidth="1"/>
    <col min="10" max="10" width="3.00390625" style="0" customWidth="1"/>
    <col min="11" max="11" width="17.140625" style="0" customWidth="1"/>
    <col min="12" max="12" width="3.00390625" style="0" customWidth="1"/>
    <col min="13" max="13" width="12.00390625" style="10" customWidth="1"/>
    <col min="14" max="14" width="3.00390625" style="10" customWidth="1"/>
    <col min="15" max="15" width="14.7109375" style="0" customWidth="1"/>
    <col min="16" max="16" width="13.57421875" style="0" customWidth="1"/>
  </cols>
  <sheetData>
    <row r="2" spans="3:12" ht="12.75">
      <c r="C2" s="422" t="str">
        <f>'Income Statement'!C2:G2</f>
        <v>ES CERAMICS TECHNOLOGY BHD</v>
      </c>
      <c r="D2" s="422"/>
      <c r="E2" s="422"/>
      <c r="F2" s="422"/>
      <c r="G2" s="422"/>
      <c r="H2" s="422"/>
      <c r="I2" s="422"/>
      <c r="J2" s="422"/>
      <c r="K2" s="422"/>
      <c r="L2" s="67"/>
    </row>
    <row r="3" spans="3:12" ht="12.75">
      <c r="C3" s="422" t="str">
        <f>'Income Statement'!C3:G3</f>
        <v>Company No. 627117-P</v>
      </c>
      <c r="D3" s="422"/>
      <c r="E3" s="422"/>
      <c r="F3" s="422"/>
      <c r="G3" s="422"/>
      <c r="H3" s="422"/>
      <c r="I3" s="422"/>
      <c r="J3" s="422"/>
      <c r="K3" s="422"/>
      <c r="L3" s="67"/>
    </row>
    <row r="4" spans="3:12" ht="12.75">
      <c r="C4" s="422" t="s">
        <v>62</v>
      </c>
      <c r="D4" s="422"/>
      <c r="E4" s="422"/>
      <c r="F4" s="422"/>
      <c r="G4" s="422"/>
      <c r="H4" s="422"/>
      <c r="I4" s="422"/>
      <c r="J4" s="422"/>
      <c r="K4" s="422"/>
      <c r="L4" s="67"/>
    </row>
    <row r="5" spans="1:15" ht="13.5" thickBot="1">
      <c r="A5" s="345"/>
      <c r="B5" s="345"/>
      <c r="C5" s="345"/>
      <c r="D5" s="345"/>
      <c r="E5" s="345"/>
      <c r="F5" s="345"/>
      <c r="G5" s="345"/>
      <c r="H5" s="345"/>
      <c r="I5" s="357"/>
      <c r="J5" s="345"/>
      <c r="K5" s="345"/>
      <c r="L5" s="345"/>
      <c r="M5" s="357"/>
      <c r="N5" s="357"/>
      <c r="O5" s="345"/>
    </row>
    <row r="6" spans="1:15" ht="12.75">
      <c r="A6" s="423" t="str">
        <f>'Income Statement'!A6</f>
        <v>INTERIM FINANCIAL REPORT FOR THE SECOND QUARTER</v>
      </c>
      <c r="B6" s="423"/>
      <c r="C6" s="423"/>
      <c r="D6" s="423"/>
      <c r="E6" s="423"/>
      <c r="F6" s="423"/>
      <c r="G6" s="423"/>
      <c r="H6" s="423"/>
      <c r="I6" s="423"/>
      <c r="J6" s="423"/>
      <c r="K6" s="423"/>
      <c r="L6" s="423"/>
      <c r="M6" s="423"/>
      <c r="N6" s="423"/>
      <c r="O6" s="423"/>
    </row>
    <row r="7" spans="1:15" ht="13.5" thickBot="1">
      <c r="A7" s="421" t="str">
        <f>'Income Statement'!A7</f>
        <v>ENDED 30 NOVEMBER 2009</v>
      </c>
      <c r="B7" s="421"/>
      <c r="C7" s="421"/>
      <c r="D7" s="421"/>
      <c r="E7" s="421"/>
      <c r="F7" s="421"/>
      <c r="G7" s="421"/>
      <c r="H7" s="421"/>
      <c r="I7" s="421"/>
      <c r="J7" s="421"/>
      <c r="K7" s="421"/>
      <c r="L7" s="421"/>
      <c r="M7" s="421"/>
      <c r="N7" s="421"/>
      <c r="O7" s="421"/>
    </row>
    <row r="9" spans="1:15" ht="12.75">
      <c r="A9" s="422" t="s">
        <v>587</v>
      </c>
      <c r="B9" s="422"/>
      <c r="C9" s="422"/>
      <c r="D9" s="422"/>
      <c r="E9" s="422"/>
      <c r="F9" s="422"/>
      <c r="G9" s="422"/>
      <c r="H9" s="422"/>
      <c r="I9" s="422"/>
      <c r="J9" s="422"/>
      <c r="K9" s="422"/>
      <c r="L9" s="422"/>
      <c r="M9" s="422"/>
      <c r="N9" s="422"/>
      <c r="O9" s="422"/>
    </row>
    <row r="10" spans="1:2" ht="12.75">
      <c r="A10" s="9"/>
      <c r="B10" s="9"/>
    </row>
    <row r="12" spans="3:15" ht="12.75">
      <c r="C12" s="67"/>
      <c r="D12" s="67"/>
      <c r="E12" s="67" t="s">
        <v>528</v>
      </c>
      <c r="F12" s="67"/>
      <c r="G12" s="67" t="s">
        <v>528</v>
      </c>
      <c r="H12" s="67"/>
      <c r="I12" s="39" t="s">
        <v>528</v>
      </c>
      <c r="J12" s="67"/>
      <c r="K12" s="67"/>
      <c r="L12" s="67"/>
      <c r="M12" s="39"/>
      <c r="N12" s="39"/>
      <c r="O12" s="9"/>
    </row>
    <row r="13" spans="3:15" ht="12.75">
      <c r="C13" s="67"/>
      <c r="D13" s="67"/>
      <c r="E13" s="67" t="s">
        <v>524</v>
      </c>
      <c r="F13" s="67"/>
      <c r="G13" s="67" t="s">
        <v>524</v>
      </c>
      <c r="H13" s="67"/>
      <c r="I13" s="39" t="s">
        <v>524</v>
      </c>
      <c r="J13" s="67"/>
      <c r="K13" s="67" t="s">
        <v>524</v>
      </c>
      <c r="L13" s="67"/>
      <c r="M13" s="39" t="s">
        <v>548</v>
      </c>
      <c r="N13" s="39"/>
      <c r="O13" s="67"/>
    </row>
    <row r="14" spans="3:15" ht="12.75">
      <c r="C14" s="347" t="s">
        <v>223</v>
      </c>
      <c r="D14" s="346"/>
      <c r="E14" s="347" t="s">
        <v>529</v>
      </c>
      <c r="F14" s="347"/>
      <c r="G14" s="347" t="s">
        <v>541</v>
      </c>
      <c r="H14" s="347"/>
      <c r="I14" s="39" t="s">
        <v>543</v>
      </c>
      <c r="J14" s="347"/>
      <c r="K14" s="347" t="s">
        <v>43</v>
      </c>
      <c r="L14" s="347"/>
      <c r="M14" s="39" t="s">
        <v>549</v>
      </c>
      <c r="N14" s="39"/>
      <c r="O14" s="347" t="s">
        <v>66</v>
      </c>
    </row>
    <row r="15" spans="3:15" ht="12.75">
      <c r="C15" s="67" t="s">
        <v>4</v>
      </c>
      <c r="D15" s="67"/>
      <c r="E15" s="67" t="s">
        <v>4</v>
      </c>
      <c r="F15" s="67"/>
      <c r="G15" s="67" t="s">
        <v>4</v>
      </c>
      <c r="H15" s="67"/>
      <c r="I15" s="39" t="s">
        <v>4</v>
      </c>
      <c r="J15" s="67"/>
      <c r="K15" s="67" t="str">
        <f>C15</f>
        <v>RM</v>
      </c>
      <c r="L15" s="67"/>
      <c r="M15" s="39" t="str">
        <f>E15</f>
        <v>RM</v>
      </c>
      <c r="N15" s="39"/>
      <c r="O15" s="67" t="str">
        <f>C15</f>
        <v>RM</v>
      </c>
    </row>
    <row r="16" ht="12.75">
      <c r="A16" s="9" t="s">
        <v>595</v>
      </c>
    </row>
    <row r="18" spans="1:15" s="9" customFormat="1" ht="12.75">
      <c r="A18" s="16" t="s">
        <v>626</v>
      </c>
      <c r="C18" s="64">
        <v>5296700</v>
      </c>
      <c r="D18" s="64"/>
      <c r="E18" s="64">
        <v>3815775</v>
      </c>
      <c r="F18" s="64"/>
      <c r="G18" s="64">
        <v>189597</v>
      </c>
      <c r="H18" s="64"/>
      <c r="I18" s="64">
        <v>2713</v>
      </c>
      <c r="J18" s="64"/>
      <c r="K18" s="64">
        <v>7202631</v>
      </c>
      <c r="L18" s="64"/>
      <c r="M18" s="64">
        <v>246</v>
      </c>
      <c r="N18" s="64"/>
      <c r="O18" s="64">
        <v>16507662</v>
      </c>
    </row>
    <row r="19" spans="1:15" s="9" customFormat="1" ht="12.75">
      <c r="A19" s="16"/>
      <c r="C19" s="19"/>
      <c r="D19" s="19"/>
      <c r="E19" s="19"/>
      <c r="F19" s="19"/>
      <c r="G19" s="19"/>
      <c r="H19" s="19"/>
      <c r="I19" s="19"/>
      <c r="J19" s="19"/>
      <c r="K19" s="19"/>
      <c r="L19" s="19"/>
      <c r="M19" s="19"/>
      <c r="N19" s="19"/>
      <c r="O19" s="19"/>
    </row>
    <row r="20" spans="1:15" s="9" customFormat="1" ht="12.75">
      <c r="A20" s="16" t="s">
        <v>550</v>
      </c>
      <c r="C20" s="19">
        <v>0</v>
      </c>
      <c r="D20" s="19"/>
      <c r="E20" s="19">
        <v>0</v>
      </c>
      <c r="F20" s="19"/>
      <c r="G20" s="19">
        <v>0</v>
      </c>
      <c r="H20" s="19"/>
      <c r="I20" s="19">
        <v>0</v>
      </c>
      <c r="J20" s="19"/>
      <c r="K20" s="19">
        <v>0</v>
      </c>
      <c r="L20" s="19"/>
      <c r="M20" s="19">
        <v>0</v>
      </c>
      <c r="N20" s="19"/>
      <c r="O20" s="19">
        <f>SUM(C20:N20)</f>
        <v>0</v>
      </c>
    </row>
    <row r="21" spans="1:15" s="9" customFormat="1" ht="12.75">
      <c r="A21" s="16" t="s">
        <v>551</v>
      </c>
      <c r="C21" s="19"/>
      <c r="D21" s="19"/>
      <c r="E21" s="19"/>
      <c r="F21" s="19"/>
      <c r="G21" s="19"/>
      <c r="H21" s="19"/>
      <c r="I21" s="19"/>
      <c r="J21" s="19"/>
      <c r="K21" s="19"/>
      <c r="L21" s="19"/>
      <c r="M21" s="19"/>
      <c r="N21" s="19"/>
      <c r="O21" s="19"/>
    </row>
    <row r="22" spans="1:15" s="9" customFormat="1" ht="12.75">
      <c r="A22" s="16"/>
      <c r="C22" s="19"/>
      <c r="D22" s="19"/>
      <c r="E22" s="19"/>
      <c r="F22" s="19"/>
      <c r="G22" s="19"/>
      <c r="H22" s="19"/>
      <c r="I22" s="19"/>
      <c r="J22" s="19"/>
      <c r="K22" s="19"/>
      <c r="L22" s="19"/>
      <c r="M22" s="19"/>
      <c r="N22" s="19"/>
      <c r="O22" s="19"/>
    </row>
    <row r="23" spans="1:15" s="9" customFormat="1" ht="12.75">
      <c r="A23" s="16" t="s">
        <v>596</v>
      </c>
      <c r="C23" s="19">
        <v>0</v>
      </c>
      <c r="D23" s="19"/>
      <c r="E23" s="19">
        <v>0</v>
      </c>
      <c r="F23" s="19"/>
      <c r="G23" s="19">
        <v>0</v>
      </c>
      <c r="H23" s="19"/>
      <c r="I23" s="19">
        <v>0</v>
      </c>
      <c r="J23" s="19"/>
      <c r="K23" s="19">
        <v>0</v>
      </c>
      <c r="L23" s="19"/>
      <c r="M23" s="19">
        <v>0</v>
      </c>
      <c r="N23" s="19"/>
      <c r="O23" s="19">
        <f>SUM(C23:N23)</f>
        <v>0</v>
      </c>
    </row>
    <row r="24" spans="1:15" s="9" customFormat="1" ht="12.75">
      <c r="A24" s="16"/>
      <c r="C24" s="19"/>
      <c r="D24" s="19"/>
      <c r="E24" s="19"/>
      <c r="F24" s="19"/>
      <c r="G24" s="19"/>
      <c r="H24" s="19"/>
      <c r="I24" s="19"/>
      <c r="J24" s="19"/>
      <c r="K24" s="19"/>
      <c r="L24" s="19"/>
      <c r="M24" s="19"/>
      <c r="N24" s="19"/>
      <c r="O24" s="19"/>
    </row>
    <row r="25" spans="1:15" s="9" customFormat="1" ht="12.75">
      <c r="A25" s="16" t="s">
        <v>545</v>
      </c>
      <c r="C25" s="19">
        <v>0</v>
      </c>
      <c r="D25" s="19"/>
      <c r="E25" s="19">
        <v>0</v>
      </c>
      <c r="F25" s="19"/>
      <c r="G25" s="19">
        <v>0</v>
      </c>
      <c r="H25" s="19"/>
      <c r="I25" s="19">
        <v>0</v>
      </c>
      <c r="J25" s="19"/>
      <c r="K25" s="19">
        <v>0</v>
      </c>
      <c r="L25" s="19"/>
      <c r="M25" s="19">
        <v>0</v>
      </c>
      <c r="N25" s="19"/>
      <c r="O25" s="19">
        <f>SUM(C25:N25)</f>
        <v>0</v>
      </c>
    </row>
    <row r="26" spans="1:15" s="9" customFormat="1" ht="12.75">
      <c r="A26" s="16"/>
      <c r="C26" s="19"/>
      <c r="D26" s="19"/>
      <c r="E26" s="19"/>
      <c r="F26" s="19"/>
      <c r="G26" s="19"/>
      <c r="H26" s="19"/>
      <c r="I26" s="19"/>
      <c r="J26" s="19"/>
      <c r="K26" s="19"/>
      <c r="L26" s="19"/>
      <c r="M26" s="19"/>
      <c r="N26" s="19"/>
      <c r="O26" s="19"/>
    </row>
    <row r="27" spans="1:15" s="9" customFormat="1" ht="12.75">
      <c r="A27" s="16" t="s">
        <v>634</v>
      </c>
      <c r="C27" s="19">
        <v>0</v>
      </c>
      <c r="D27" s="19"/>
      <c r="E27" s="64">
        <v>0</v>
      </c>
      <c r="F27" s="19"/>
      <c r="G27" s="19">
        <v>0</v>
      </c>
      <c r="H27" s="19"/>
      <c r="I27" s="19">
        <v>0</v>
      </c>
      <c r="J27" s="19"/>
      <c r="K27" s="19">
        <v>0</v>
      </c>
      <c r="L27" s="19"/>
      <c r="M27" s="19">
        <v>0</v>
      </c>
      <c r="N27" s="19"/>
      <c r="O27" s="19">
        <f>SUM(C27:N27)</f>
        <v>0</v>
      </c>
    </row>
    <row r="28" spans="1:15" s="9" customFormat="1" ht="12.75">
      <c r="A28" s="16" t="s">
        <v>633</v>
      </c>
      <c r="C28" s="19"/>
      <c r="D28" s="19"/>
      <c r="E28" s="64"/>
      <c r="F28" s="19"/>
      <c r="G28" s="19"/>
      <c r="H28" s="19"/>
      <c r="I28" s="19"/>
      <c r="J28" s="19"/>
      <c r="K28" s="19"/>
      <c r="L28" s="19"/>
      <c r="M28" s="19"/>
      <c r="N28" s="19"/>
      <c r="O28" s="19"/>
    </row>
    <row r="29" spans="1:15" s="9" customFormat="1" ht="12.75">
      <c r="A29" s="16"/>
      <c r="C29" s="19"/>
      <c r="D29" s="19"/>
      <c r="E29" s="19"/>
      <c r="F29" s="19"/>
      <c r="G29" s="19"/>
      <c r="H29" s="19"/>
      <c r="I29" s="19"/>
      <c r="J29" s="19"/>
      <c r="K29" s="19"/>
      <c r="L29" s="19"/>
      <c r="M29" s="19"/>
      <c r="N29" s="19"/>
      <c r="O29" s="19"/>
    </row>
    <row r="30" spans="1:15" s="9" customFormat="1" ht="12.75">
      <c r="A30" s="16" t="s">
        <v>556</v>
      </c>
      <c r="C30" s="19"/>
      <c r="D30" s="19"/>
      <c r="E30" s="19"/>
      <c r="F30" s="19"/>
      <c r="G30" s="19"/>
      <c r="H30" s="19"/>
      <c r="I30" s="19"/>
      <c r="J30" s="19"/>
      <c r="K30" s="19"/>
      <c r="L30" s="19"/>
      <c r="M30" s="19"/>
      <c r="N30" s="19"/>
      <c r="O30" s="19"/>
    </row>
    <row r="31" spans="1:15" s="9" customFormat="1" ht="12.75">
      <c r="A31" s="16" t="s">
        <v>557</v>
      </c>
      <c r="C31" s="19"/>
      <c r="D31" s="19"/>
      <c r="E31" s="19"/>
      <c r="F31" s="19"/>
      <c r="G31" s="19"/>
      <c r="H31" s="19"/>
      <c r="I31" s="19"/>
      <c r="J31" s="19"/>
      <c r="K31" s="19"/>
      <c r="L31" s="19"/>
      <c r="M31" s="19"/>
      <c r="N31" s="19"/>
      <c r="O31" s="19"/>
    </row>
    <row r="32" spans="1:15" s="9" customFormat="1" ht="12.75">
      <c r="A32" s="16" t="s">
        <v>558</v>
      </c>
      <c r="C32" s="19">
        <v>0</v>
      </c>
      <c r="D32" s="19"/>
      <c r="E32" s="19">
        <v>0</v>
      </c>
      <c r="F32" s="19"/>
      <c r="G32" s="19">
        <v>0</v>
      </c>
      <c r="H32" s="19"/>
      <c r="I32" s="19">
        <v>-148346</v>
      </c>
      <c r="J32" s="19"/>
      <c r="K32" s="19">
        <v>-28240</v>
      </c>
      <c r="L32" s="19"/>
      <c r="M32" s="19">
        <v>-25</v>
      </c>
      <c r="N32" s="19"/>
      <c r="O32" s="19">
        <f>SUM(C32:N32)</f>
        <v>-176611</v>
      </c>
    </row>
    <row r="33" spans="1:15" ht="12.75">
      <c r="A33" s="16"/>
      <c r="C33" s="19"/>
      <c r="D33" s="19"/>
      <c r="E33" s="19"/>
      <c r="F33" s="19"/>
      <c r="G33" s="19"/>
      <c r="H33" s="19"/>
      <c r="I33" s="19"/>
      <c r="J33" s="19"/>
      <c r="K33" s="19"/>
      <c r="L33" s="19"/>
      <c r="M33" s="19"/>
      <c r="N33" s="19"/>
      <c r="O33" s="19"/>
    </row>
    <row r="34" spans="1:15" ht="12.75">
      <c r="A34" s="16" t="s">
        <v>622</v>
      </c>
      <c r="C34" s="19">
        <v>0</v>
      </c>
      <c r="D34" s="19"/>
      <c r="E34" s="19">
        <v>0</v>
      </c>
      <c r="F34" s="19"/>
      <c r="G34" s="19">
        <v>0</v>
      </c>
      <c r="H34" s="19"/>
      <c r="I34" s="19">
        <v>0</v>
      </c>
      <c r="J34" s="19"/>
      <c r="K34" s="19">
        <v>206932</v>
      </c>
      <c r="L34" s="19"/>
      <c r="M34" s="19">
        <v>-4</v>
      </c>
      <c r="N34" s="19"/>
      <c r="O34" s="19">
        <f>SUM(C34:N34)</f>
        <v>206928</v>
      </c>
    </row>
    <row r="35" spans="1:15" ht="12.75">
      <c r="A35" s="16"/>
      <c r="C35" s="19"/>
      <c r="D35" s="19"/>
      <c r="E35" s="19"/>
      <c r="F35" s="19"/>
      <c r="G35" s="19"/>
      <c r="H35" s="19"/>
      <c r="I35" s="19"/>
      <c r="J35" s="19"/>
      <c r="K35" s="19"/>
      <c r="L35" s="19"/>
      <c r="M35" s="19"/>
      <c r="N35" s="19"/>
      <c r="O35" s="19"/>
    </row>
    <row r="36" spans="1:15" ht="13.5" thickBot="1">
      <c r="A36" s="16" t="s">
        <v>637</v>
      </c>
      <c r="C36" s="41">
        <f>SUM(C18:C35)</f>
        <v>5296700</v>
      </c>
      <c r="D36" s="19"/>
      <c r="E36" s="41">
        <f>SUM(E18:E35)</f>
        <v>3815775</v>
      </c>
      <c r="F36" s="19"/>
      <c r="G36" s="41">
        <f>SUM(G18:G35)</f>
        <v>189597</v>
      </c>
      <c r="H36" s="19"/>
      <c r="I36" s="41">
        <f>SUM(I18:I35)</f>
        <v>-145633</v>
      </c>
      <c r="J36" s="19"/>
      <c r="K36" s="41">
        <f>SUM(K18:K35)</f>
        <v>7381323</v>
      </c>
      <c r="L36" s="26"/>
      <c r="M36" s="41">
        <f>SUM(M18:M35)</f>
        <v>217</v>
      </c>
      <c r="N36" s="19"/>
      <c r="O36" s="41">
        <f>SUM(O18:O35)</f>
        <v>16537979</v>
      </c>
    </row>
    <row r="37" ht="13.5" thickTop="1">
      <c r="A37" s="16"/>
    </row>
    <row r="38" spans="1:15" ht="12.75">
      <c r="A38" s="348"/>
      <c r="B38" s="348"/>
      <c r="C38" s="48"/>
      <c r="D38" s="48"/>
      <c r="E38" s="48"/>
      <c r="F38" s="48"/>
      <c r="G38" s="48"/>
      <c r="H38" s="48"/>
      <c r="I38" s="35"/>
      <c r="J38" s="48"/>
      <c r="K38" s="48"/>
      <c r="L38" s="48"/>
      <c r="M38" s="35"/>
      <c r="N38" s="35"/>
      <c r="O38" s="48"/>
    </row>
    <row r="41" ht="12.75">
      <c r="A41" s="9" t="s">
        <v>638</v>
      </c>
    </row>
    <row r="43" spans="1:15" s="9" customFormat="1" ht="12.75">
      <c r="A43" s="16" t="s">
        <v>627</v>
      </c>
      <c r="C43" s="64">
        <v>5296700</v>
      </c>
      <c r="D43" s="64"/>
      <c r="E43" s="64">
        <v>3815775</v>
      </c>
      <c r="F43" s="64"/>
      <c r="G43" s="64">
        <v>249027</v>
      </c>
      <c r="H43" s="64"/>
      <c r="I43" s="64">
        <v>63063</v>
      </c>
      <c r="J43" s="64"/>
      <c r="K43" s="64">
        <v>5061027</v>
      </c>
      <c r="L43" s="64"/>
      <c r="M43" s="64">
        <v>217</v>
      </c>
      <c r="N43" s="64"/>
      <c r="O43" s="64">
        <v>14485809</v>
      </c>
    </row>
    <row r="44" spans="1:15" s="9" customFormat="1" ht="12.75">
      <c r="A44" s="16"/>
      <c r="C44" s="19"/>
      <c r="D44" s="19"/>
      <c r="E44" s="19"/>
      <c r="F44" s="19"/>
      <c r="G44" s="19"/>
      <c r="H44" s="19"/>
      <c r="I44" s="19"/>
      <c r="J44" s="19"/>
      <c r="K44" s="19"/>
      <c r="L44" s="19"/>
      <c r="M44" s="19"/>
      <c r="N44" s="19"/>
      <c r="O44" s="19"/>
    </row>
    <row r="45" spans="1:15" s="9" customFormat="1" ht="12.75">
      <c r="A45" s="16" t="s">
        <v>550</v>
      </c>
      <c r="C45" s="19">
        <v>0</v>
      </c>
      <c r="D45" s="19"/>
      <c r="E45" s="19">
        <v>0</v>
      </c>
      <c r="F45" s="19"/>
      <c r="G45" s="19">
        <v>0</v>
      </c>
      <c r="H45" s="19"/>
      <c r="I45" s="19">
        <v>0</v>
      </c>
      <c r="J45" s="19"/>
      <c r="K45" s="19">
        <v>0</v>
      </c>
      <c r="L45" s="19"/>
      <c r="M45" s="19">
        <v>0</v>
      </c>
      <c r="N45" s="19"/>
      <c r="O45" s="19">
        <f>SUM(C45:N45)</f>
        <v>0</v>
      </c>
    </row>
    <row r="46" spans="1:15" s="9" customFormat="1" ht="12.75">
      <c r="A46" s="16" t="s">
        <v>551</v>
      </c>
      <c r="C46" s="19"/>
      <c r="D46" s="19"/>
      <c r="E46" s="19"/>
      <c r="F46" s="19"/>
      <c r="G46" s="19"/>
      <c r="H46" s="19"/>
      <c r="I46" s="19"/>
      <c r="J46" s="19"/>
      <c r="K46" s="19"/>
      <c r="L46" s="19"/>
      <c r="M46" s="19"/>
      <c r="N46" s="19"/>
      <c r="O46" s="19"/>
    </row>
    <row r="47" spans="1:15" s="9" customFormat="1" ht="12.75">
      <c r="A47" s="16"/>
      <c r="C47" s="19"/>
      <c r="D47" s="19"/>
      <c r="E47" s="19"/>
      <c r="F47" s="19"/>
      <c r="G47" s="19"/>
      <c r="H47" s="19"/>
      <c r="I47" s="19"/>
      <c r="J47" s="19"/>
      <c r="K47" s="19"/>
      <c r="L47" s="19"/>
      <c r="M47" s="19"/>
      <c r="N47" s="19"/>
      <c r="O47" s="19"/>
    </row>
    <row r="48" spans="1:15" s="9" customFormat="1" ht="12.75">
      <c r="A48" s="16" t="s">
        <v>545</v>
      </c>
      <c r="C48" s="19">
        <v>0</v>
      </c>
      <c r="D48" s="19"/>
      <c r="E48" s="19">
        <v>0</v>
      </c>
      <c r="F48" s="19"/>
      <c r="G48" s="19">
        <v>0</v>
      </c>
      <c r="H48" s="19"/>
      <c r="I48" s="19">
        <v>0</v>
      </c>
      <c r="J48" s="19"/>
      <c r="K48" s="19">
        <v>0</v>
      </c>
      <c r="L48" s="19"/>
      <c r="M48" s="19">
        <v>0</v>
      </c>
      <c r="N48" s="19"/>
      <c r="O48" s="19">
        <f>SUM(C48:N48)</f>
        <v>0</v>
      </c>
    </row>
    <row r="49" spans="1:15" s="9" customFormat="1" ht="12.75">
      <c r="A49" s="16"/>
      <c r="C49" s="19"/>
      <c r="D49" s="19"/>
      <c r="E49" s="19"/>
      <c r="F49" s="19"/>
      <c r="G49" s="19"/>
      <c r="H49" s="19"/>
      <c r="I49" s="19"/>
      <c r="J49" s="19"/>
      <c r="K49" s="19"/>
      <c r="L49" s="19"/>
      <c r="M49" s="19"/>
      <c r="N49" s="19"/>
      <c r="O49" s="19"/>
    </row>
    <row r="50" spans="1:15" s="9" customFormat="1" ht="12.75">
      <c r="A50" s="16" t="s">
        <v>634</v>
      </c>
      <c r="C50" s="19">
        <v>0</v>
      </c>
      <c r="D50" s="19"/>
      <c r="E50" s="19">
        <v>0</v>
      </c>
      <c r="F50" s="19"/>
      <c r="G50" s="19">
        <v>0</v>
      </c>
      <c r="H50" s="19"/>
      <c r="I50" s="19">
        <v>0</v>
      </c>
      <c r="J50" s="19"/>
      <c r="K50" s="19">
        <v>0</v>
      </c>
      <c r="L50" s="19"/>
      <c r="M50" s="19">
        <v>0</v>
      </c>
      <c r="N50" s="19"/>
      <c r="O50" s="19">
        <f>SUM(C50:N50)</f>
        <v>0</v>
      </c>
    </row>
    <row r="51" spans="1:15" s="9" customFormat="1" ht="12.75">
      <c r="A51" s="16" t="s">
        <v>633</v>
      </c>
      <c r="C51" s="19"/>
      <c r="D51" s="19"/>
      <c r="E51" s="19"/>
      <c r="F51" s="19"/>
      <c r="G51" s="19"/>
      <c r="H51" s="19"/>
      <c r="I51" s="19"/>
      <c r="J51" s="19"/>
      <c r="K51" s="19"/>
      <c r="L51" s="19"/>
      <c r="M51" s="19"/>
      <c r="N51" s="19"/>
      <c r="O51" s="19"/>
    </row>
    <row r="52" spans="1:15" s="9" customFormat="1" ht="12.75">
      <c r="A52" s="16"/>
      <c r="C52" s="19"/>
      <c r="D52" s="19"/>
      <c r="E52" s="19"/>
      <c r="F52" s="19"/>
      <c r="G52" s="19"/>
      <c r="H52" s="19"/>
      <c r="I52" s="19"/>
      <c r="J52" s="19"/>
      <c r="K52" s="19"/>
      <c r="L52" s="19"/>
      <c r="M52" s="19"/>
      <c r="N52" s="19"/>
      <c r="O52" s="19"/>
    </row>
    <row r="53" spans="1:15" s="9" customFormat="1" ht="12.75">
      <c r="A53" s="16" t="s">
        <v>556</v>
      </c>
      <c r="C53" s="19"/>
      <c r="D53" s="19"/>
      <c r="E53" s="19"/>
      <c r="F53" s="19"/>
      <c r="G53" s="19"/>
      <c r="H53" s="19"/>
      <c r="I53" s="19"/>
      <c r="J53" s="19"/>
      <c r="K53" s="19"/>
      <c r="L53" s="19"/>
      <c r="M53" s="19"/>
      <c r="N53" s="19"/>
      <c r="O53" s="19"/>
    </row>
    <row r="54" spans="1:15" s="9" customFormat="1" ht="12.75">
      <c r="A54" s="16" t="s">
        <v>557</v>
      </c>
      <c r="C54" s="19"/>
      <c r="D54" s="19"/>
      <c r="E54" s="19"/>
      <c r="F54" s="19"/>
      <c r="G54" s="19"/>
      <c r="H54" s="19"/>
      <c r="I54" s="19"/>
      <c r="J54" s="19"/>
      <c r="K54" s="19"/>
      <c r="L54" s="19"/>
      <c r="M54" s="19"/>
      <c r="N54" s="19"/>
      <c r="O54" s="19"/>
    </row>
    <row r="55" spans="1:15" s="9" customFormat="1" ht="12.75">
      <c r="A55" s="16" t="s">
        <v>558</v>
      </c>
      <c r="C55" s="19">
        <v>0</v>
      </c>
      <c r="D55" s="19"/>
      <c r="E55" s="19">
        <v>0</v>
      </c>
      <c r="F55" s="19"/>
      <c r="G55" s="19">
        <v>0</v>
      </c>
      <c r="H55" s="19"/>
      <c r="I55" s="19">
        <f>'Balance Sheets'!D40-I43</f>
        <v>-516667.77373920387</v>
      </c>
      <c r="J55" s="19"/>
      <c r="K55" s="19">
        <f>'Balance Sheets'!D41-K57-K43</f>
        <v>35799.58761768043</v>
      </c>
      <c r="L55" s="19"/>
      <c r="M55" s="19">
        <f>'Balance Sheets'!D43-M43-M57</f>
        <v>18</v>
      </c>
      <c r="N55" s="19"/>
      <c r="O55" s="89">
        <f>SUM(C55:N55)</f>
        <v>-480850.18612152344</v>
      </c>
    </row>
    <row r="56" spans="1:15" ht="12.75">
      <c r="A56" s="16"/>
      <c r="C56" s="19"/>
      <c r="D56" s="19"/>
      <c r="E56" s="19"/>
      <c r="F56" s="19"/>
      <c r="G56" s="19"/>
      <c r="H56" s="19"/>
      <c r="I56" s="19"/>
      <c r="J56" s="19"/>
      <c r="K56" s="19"/>
      <c r="L56" s="19"/>
      <c r="M56" s="19"/>
      <c r="N56" s="19"/>
      <c r="O56" s="19"/>
    </row>
    <row r="57" spans="1:15" ht="12.75">
      <c r="A57" s="16" t="s">
        <v>502</v>
      </c>
      <c r="C57" s="19">
        <v>0</v>
      </c>
      <c r="D57" s="19"/>
      <c r="E57" s="19">
        <v>0</v>
      </c>
      <c r="F57" s="19"/>
      <c r="G57" s="19">
        <v>0</v>
      </c>
      <c r="H57" s="19"/>
      <c r="I57" s="19">
        <v>0</v>
      </c>
      <c r="J57" s="19"/>
      <c r="K57" s="19">
        <f>'Income Statement'!G39</f>
        <v>1159666</v>
      </c>
      <c r="L57" s="19"/>
      <c r="M57" s="19">
        <f>'Income Statement'!G40</f>
        <v>5</v>
      </c>
      <c r="N57" s="19"/>
      <c r="O57" s="19">
        <f>SUM(C57:N57)</f>
        <v>1159671</v>
      </c>
    </row>
    <row r="58" spans="1:15" ht="12.75">
      <c r="A58" s="16"/>
      <c r="C58" s="19"/>
      <c r="D58" s="19"/>
      <c r="E58" s="19"/>
      <c r="F58" s="19"/>
      <c r="G58" s="19"/>
      <c r="H58" s="19"/>
      <c r="I58" s="19"/>
      <c r="J58" s="19"/>
      <c r="K58" s="19"/>
      <c r="L58" s="19"/>
      <c r="M58" s="19"/>
      <c r="N58" s="19"/>
      <c r="O58" s="19"/>
    </row>
    <row r="59" spans="1:15" ht="13.5" thickBot="1">
      <c r="A59" s="16" t="s">
        <v>639</v>
      </c>
      <c r="C59" s="41">
        <f>SUM(C43:C58)</f>
        <v>5296700</v>
      </c>
      <c r="D59" s="19"/>
      <c r="E59" s="41">
        <f>SUM(E43:E58)</f>
        <v>3815775</v>
      </c>
      <c r="F59" s="19"/>
      <c r="G59" s="41">
        <f>SUM(G43:G58)</f>
        <v>249027</v>
      </c>
      <c r="H59" s="19"/>
      <c r="I59" s="41">
        <f>SUM(I43:I58)</f>
        <v>-453604.77373920387</v>
      </c>
      <c r="J59" s="19"/>
      <c r="K59" s="41">
        <f>SUM(K43:K58)</f>
        <v>6256492.58761768</v>
      </c>
      <c r="L59" s="26"/>
      <c r="M59" s="41">
        <f>SUM(M43:M58)</f>
        <v>240</v>
      </c>
      <c r="N59" s="19"/>
      <c r="O59" s="41">
        <f>SUM(O43:O58)</f>
        <v>15164629.813878477</v>
      </c>
    </row>
    <row r="60" ht="13.5" thickTop="1">
      <c r="A60" s="16"/>
    </row>
    <row r="61" spans="1:15" ht="12.75">
      <c r="A61" s="348"/>
      <c r="B61" s="348"/>
      <c r="C61" s="233"/>
      <c r="D61" s="48"/>
      <c r="E61" s="48"/>
      <c r="F61" s="48"/>
      <c r="G61" s="48"/>
      <c r="H61" s="48"/>
      <c r="I61" s="35"/>
      <c r="J61" s="48"/>
      <c r="K61" s="48"/>
      <c r="L61" s="48"/>
      <c r="M61" s="35"/>
      <c r="N61" s="35"/>
      <c r="O61" s="35"/>
    </row>
    <row r="62" spans="3:15" ht="12.75">
      <c r="C62" s="48"/>
      <c r="D62" s="48"/>
      <c r="E62" s="48"/>
      <c r="F62" s="48"/>
      <c r="G62" s="48"/>
      <c r="H62" s="48"/>
      <c r="I62" s="35"/>
      <c r="J62" s="48"/>
      <c r="K62" s="48"/>
      <c r="L62" s="48"/>
      <c r="M62" s="35"/>
      <c r="N62" s="35"/>
      <c r="O62" s="48"/>
    </row>
    <row r="63" spans="1:15" ht="12.75">
      <c r="A63" s="393" t="s">
        <v>620</v>
      </c>
      <c r="B63" s="348"/>
      <c r="C63" s="48"/>
      <c r="D63" s="48"/>
      <c r="E63" s="48"/>
      <c r="F63" s="48"/>
      <c r="G63" s="48"/>
      <c r="H63" s="48"/>
      <c r="I63" s="35"/>
      <c r="J63" s="48"/>
      <c r="K63" s="48"/>
      <c r="L63" s="48"/>
      <c r="M63" s="35"/>
      <c r="N63" s="35"/>
      <c r="O63" s="48"/>
    </row>
  </sheetData>
  <sheetProtection/>
  <mergeCells count="6">
    <mergeCell ref="A9:O9"/>
    <mergeCell ref="A7:O7"/>
    <mergeCell ref="C2:K2"/>
    <mergeCell ref="C3:K3"/>
    <mergeCell ref="C4:K4"/>
    <mergeCell ref="A6:O6"/>
  </mergeCells>
  <printOptions/>
  <pageMargins left="1" right="0" top="0.25" bottom="0" header="0.5" footer="0.5"/>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2:G85"/>
  <sheetViews>
    <sheetView tabSelected="1" zoomScalePageLayoutView="0" workbookViewId="0" topLeftCell="A1">
      <selection activeCell="H32" sqref="H32"/>
    </sheetView>
  </sheetViews>
  <sheetFormatPr defaultColWidth="9.140625" defaultRowHeight="12.75"/>
  <cols>
    <col min="1" max="1" width="2.7109375" style="9" customWidth="1"/>
    <col min="2" max="2" width="2.8515625" style="9" customWidth="1"/>
    <col min="3" max="3" width="48.8515625" style="0" bestFit="1" customWidth="1"/>
    <col min="4" max="4" width="18.00390625" style="245" customWidth="1"/>
    <col min="5" max="5" width="2.7109375" style="364" customWidth="1"/>
    <col min="6" max="6" width="17.421875" style="0" bestFit="1" customWidth="1"/>
    <col min="7" max="7" width="13.57421875" style="0" customWidth="1"/>
  </cols>
  <sheetData>
    <row r="2" spans="1:6" ht="12.75">
      <c r="A2" s="422" t="str">
        <f>'Income Statement'!C2</f>
        <v>ES CERAMICS TECHNOLOGY BHD</v>
      </c>
      <c r="B2" s="422"/>
      <c r="C2" s="422"/>
      <c r="D2" s="422"/>
      <c r="E2" s="422"/>
      <c r="F2" s="422"/>
    </row>
    <row r="3" spans="1:6" ht="12.75">
      <c r="A3" s="422" t="str">
        <f>'Income Statement'!C3</f>
        <v>Company No. 627117-P</v>
      </c>
      <c r="B3" s="422"/>
      <c r="C3" s="422"/>
      <c r="D3" s="422"/>
      <c r="E3" s="422"/>
      <c r="F3" s="422"/>
    </row>
    <row r="4" spans="1:6" ht="12.75">
      <c r="A4" s="422" t="str">
        <f>'Income Statement'!C4</f>
        <v>(Incorporated in Malaysia)</v>
      </c>
      <c r="B4" s="422"/>
      <c r="C4" s="422"/>
      <c r="D4" s="422"/>
      <c r="E4" s="422"/>
      <c r="F4" s="422"/>
    </row>
    <row r="5" spans="1:6" ht="13.5" thickBot="1">
      <c r="A5" s="349"/>
      <c r="B5" s="349"/>
      <c r="C5" s="345"/>
      <c r="D5" s="379"/>
      <c r="E5" s="363"/>
      <c r="F5" s="345"/>
    </row>
    <row r="6" spans="1:6" ht="12.75">
      <c r="A6" s="423" t="str">
        <f>'Income Statement'!A6</f>
        <v>INTERIM FINANCIAL REPORT FOR THE SECOND QUARTER</v>
      </c>
      <c r="B6" s="423"/>
      <c r="C6" s="423"/>
      <c r="D6" s="423"/>
      <c r="E6" s="423"/>
      <c r="F6" s="423"/>
    </row>
    <row r="7" spans="1:6" ht="13.5" thickBot="1">
      <c r="A7" s="421" t="str">
        <f>'Income Statement'!A7</f>
        <v>ENDED 30 NOVEMBER 2009</v>
      </c>
      <c r="B7" s="421"/>
      <c r="C7" s="421"/>
      <c r="D7" s="421"/>
      <c r="E7" s="421"/>
      <c r="F7" s="421"/>
    </row>
    <row r="9" spans="1:6" ht="12.75">
      <c r="A9" s="422" t="s">
        <v>586</v>
      </c>
      <c r="B9" s="422"/>
      <c r="C9" s="422"/>
      <c r="D9" s="422"/>
      <c r="E9" s="422"/>
      <c r="F9" s="422"/>
    </row>
    <row r="10" spans="4:6" ht="12.75">
      <c r="D10" s="246"/>
      <c r="E10" s="88"/>
      <c r="F10" s="67"/>
    </row>
    <row r="11" ht="12.75">
      <c r="E11" s="88"/>
    </row>
    <row r="12" spans="4:6" ht="12.75">
      <c r="D12" s="246" t="s">
        <v>560</v>
      </c>
      <c r="E12" s="88"/>
      <c r="F12" s="67" t="s">
        <v>561</v>
      </c>
    </row>
    <row r="13" spans="4:6" ht="12.75">
      <c r="D13" s="246" t="s">
        <v>525</v>
      </c>
      <c r="E13" s="88"/>
      <c r="F13" s="67" t="s">
        <v>525</v>
      </c>
    </row>
    <row r="14" spans="4:6" ht="12.75">
      <c r="D14" s="380">
        <f>'Income Statement'!C16</f>
        <v>40147</v>
      </c>
      <c r="E14" s="88"/>
      <c r="F14" s="346">
        <f>'Income Statement'!E16</f>
        <v>39782</v>
      </c>
    </row>
    <row r="15" ht="12.75">
      <c r="F15" s="67"/>
    </row>
    <row r="16" spans="4:6" ht="12.75">
      <c r="D16" s="246" t="s">
        <v>4</v>
      </c>
      <c r="E16" s="88"/>
      <c r="F16" s="67" t="str">
        <f>D16</f>
        <v>RM</v>
      </c>
    </row>
    <row r="17" spans="1:5" s="9" customFormat="1" ht="12.75">
      <c r="A17" s="9" t="s">
        <v>104</v>
      </c>
      <c r="D17" s="381"/>
      <c r="E17" s="365"/>
    </row>
    <row r="18" spans="2:6" ht="12.75">
      <c r="B18" t="s">
        <v>207</v>
      </c>
      <c r="D18" s="245">
        <f>'Income Statement'!G31</f>
        <v>1308911</v>
      </c>
      <c r="E18" s="245"/>
      <c r="F18" s="21">
        <v>322865</v>
      </c>
    </row>
    <row r="19" spans="2:6" ht="12.75">
      <c r="B19"/>
      <c r="E19" s="245"/>
      <c r="F19" s="21"/>
    </row>
    <row r="20" spans="2:6" ht="12.75">
      <c r="B20" t="s">
        <v>562</v>
      </c>
      <c r="D20" s="259"/>
      <c r="E20" s="259"/>
      <c r="F20" s="21"/>
    </row>
    <row r="21" spans="3:6" ht="12.75">
      <c r="C21" t="s">
        <v>563</v>
      </c>
      <c r="D21" s="259">
        <f>-'Income Statement'!G27</f>
        <v>1320762</v>
      </c>
      <c r="E21" s="259"/>
      <c r="F21" s="21">
        <v>783486</v>
      </c>
    </row>
    <row r="22" spans="3:6" ht="12.75">
      <c r="C22" t="s">
        <v>624</v>
      </c>
      <c r="D22" s="259">
        <f>-261151.5-235817</f>
        <v>-496968.5</v>
      </c>
      <c r="E22" s="259"/>
      <c r="F22" s="21"/>
    </row>
    <row r="23" spans="3:6" ht="12.75">
      <c r="C23" t="s">
        <v>518</v>
      </c>
      <c r="D23" s="259">
        <f>-'Income Statement'!G24</f>
        <v>935215</v>
      </c>
      <c r="E23" s="259"/>
      <c r="F23" s="21">
        <v>751152</v>
      </c>
    </row>
    <row r="24" spans="3:6" ht="12.75">
      <c r="C24" t="s">
        <v>591</v>
      </c>
      <c r="D24" s="259">
        <v>0</v>
      </c>
      <c r="E24" s="259"/>
      <c r="F24" s="21">
        <v>0</v>
      </c>
    </row>
    <row r="25" spans="3:6" ht="12.75">
      <c r="C25" t="s">
        <v>592</v>
      </c>
      <c r="D25" s="259">
        <v>0</v>
      </c>
      <c r="E25" s="259"/>
      <c r="F25" s="21">
        <v>0</v>
      </c>
    </row>
    <row r="26" spans="3:6" ht="12.75">
      <c r="C26" s="16" t="s">
        <v>297</v>
      </c>
      <c r="D26" s="259">
        <f>-'Income Statement'!G29</f>
        <v>-7254</v>
      </c>
      <c r="E26" s="259"/>
      <c r="F26" s="21">
        <v>-32159</v>
      </c>
    </row>
    <row r="27" spans="3:6" ht="12.75">
      <c r="C27" t="s">
        <v>597</v>
      </c>
      <c r="D27" s="259">
        <f>13875+13875</f>
        <v>27750</v>
      </c>
      <c r="E27" s="259"/>
      <c r="F27" s="21">
        <v>27750</v>
      </c>
    </row>
    <row r="28" spans="3:6" ht="12.75">
      <c r="C28" t="s">
        <v>564</v>
      </c>
      <c r="D28" s="264">
        <v>0</v>
      </c>
      <c r="E28" s="259"/>
      <c r="F28" s="366">
        <v>0</v>
      </c>
    </row>
    <row r="29" spans="2:6" ht="12.75">
      <c r="B29" s="16" t="s">
        <v>299</v>
      </c>
      <c r="D29" s="259">
        <f>ROUNDDOWN(SUM(D18:D28),0)</f>
        <v>3088415</v>
      </c>
      <c r="E29" s="259"/>
      <c r="F29" s="21">
        <f>SUM(F18:F28)</f>
        <v>1853094</v>
      </c>
    </row>
    <row r="30" spans="4:6" s="9" customFormat="1" ht="12.75">
      <c r="D30" s="367"/>
      <c r="E30" s="367"/>
      <c r="F30" s="368"/>
    </row>
    <row r="31" spans="2:6" ht="12.75">
      <c r="B31" s="16" t="s">
        <v>565</v>
      </c>
      <c r="D31" s="259"/>
      <c r="E31" s="259"/>
      <c r="F31" s="21"/>
    </row>
    <row r="32" spans="2:6" ht="12.75">
      <c r="B32" s="16"/>
      <c r="C32" t="s">
        <v>566</v>
      </c>
      <c r="D32" s="259">
        <v>86478</v>
      </c>
      <c r="E32" s="259"/>
      <c r="F32" s="259">
        <v>-1787685</v>
      </c>
    </row>
    <row r="33" spans="2:6" ht="12.75">
      <c r="B33" s="16"/>
      <c r="C33" t="s">
        <v>567</v>
      </c>
      <c r="D33" s="259">
        <f>-568750-154805</f>
        <v>-723555</v>
      </c>
      <c r="E33" s="259"/>
      <c r="F33" s="259">
        <v>-673278</v>
      </c>
    </row>
    <row r="34" spans="2:6" ht="12.75">
      <c r="B34" s="16"/>
      <c r="C34" t="s">
        <v>568</v>
      </c>
      <c r="D34" s="264">
        <v>-1036835</v>
      </c>
      <c r="E34" s="259"/>
      <c r="F34" s="264">
        <v>1733564</v>
      </c>
    </row>
    <row r="35" spans="2:7" ht="12.75">
      <c r="B35" s="16" t="s">
        <v>302</v>
      </c>
      <c r="D35" s="259">
        <f>SUM(D29:D34)</f>
        <v>1414503</v>
      </c>
      <c r="E35" s="259"/>
      <c r="F35" s="369">
        <f>SUM(F29:F34)</f>
        <v>1125695</v>
      </c>
      <c r="G35" s="21"/>
    </row>
    <row r="36" spans="2:6" ht="12.75">
      <c r="B36" s="16"/>
      <c r="D36" s="259"/>
      <c r="E36" s="259"/>
      <c r="F36" s="21"/>
    </row>
    <row r="37" spans="2:6" s="9" customFormat="1" ht="12.75">
      <c r="B37" s="16" t="s">
        <v>518</v>
      </c>
      <c r="D37" s="92">
        <f>-D23</f>
        <v>-935215</v>
      </c>
      <c r="E37" s="367"/>
      <c r="F37" s="92">
        <v>-751152</v>
      </c>
    </row>
    <row r="38" spans="2:6" s="9" customFormat="1" ht="12.75">
      <c r="B38" s="16" t="s">
        <v>569</v>
      </c>
      <c r="D38" s="92">
        <f>'Income Statement'!G33</f>
        <v>-149240</v>
      </c>
      <c r="E38" s="367"/>
      <c r="F38" s="92">
        <v>-160782</v>
      </c>
    </row>
    <row r="39" spans="2:6" ht="12.75">
      <c r="B39" s="9" t="s">
        <v>570</v>
      </c>
      <c r="D39" s="268">
        <f>SUM(D35:D38)</f>
        <v>330048</v>
      </c>
      <c r="E39" s="259"/>
      <c r="F39" s="370">
        <f>SUM(F35:F38)</f>
        <v>213761</v>
      </c>
    </row>
    <row r="40" spans="2:6" ht="12.75">
      <c r="B40" s="16"/>
      <c r="D40" s="259"/>
      <c r="E40" s="259"/>
      <c r="F40" s="21"/>
    </row>
    <row r="41" spans="1:6" ht="12.75">
      <c r="A41" s="9" t="s">
        <v>571</v>
      </c>
      <c r="B41" s="16"/>
      <c r="D41" s="259"/>
      <c r="E41" s="259"/>
      <c r="F41" s="21"/>
    </row>
    <row r="42" spans="2:6" s="9" customFormat="1" ht="12.75">
      <c r="B42" s="16" t="s">
        <v>572</v>
      </c>
      <c r="D42" s="92">
        <v>-187144</v>
      </c>
      <c r="E42" s="367"/>
      <c r="F42" s="64">
        <v>-565775</v>
      </c>
    </row>
    <row r="43" spans="2:6" s="9" customFormat="1" ht="12.75">
      <c r="B43" s="16" t="s">
        <v>297</v>
      </c>
      <c r="D43" s="92">
        <f>-D26</f>
        <v>7254</v>
      </c>
      <c r="E43" s="367"/>
      <c r="F43" s="64">
        <v>32159</v>
      </c>
    </row>
    <row r="44" spans="2:6" s="9" customFormat="1" ht="12.75">
      <c r="B44" s="16" t="s">
        <v>573</v>
      </c>
      <c r="D44" s="92">
        <v>-33417</v>
      </c>
      <c r="E44" s="367"/>
      <c r="F44" s="64">
        <v>-52704</v>
      </c>
    </row>
    <row r="45" spans="2:6" s="9" customFormat="1" ht="12.75">
      <c r="B45" s="16" t="s">
        <v>574</v>
      </c>
      <c r="D45" s="92">
        <v>0</v>
      </c>
      <c r="E45" s="367"/>
      <c r="F45" s="64">
        <v>0</v>
      </c>
    </row>
    <row r="46" spans="2:6" s="9" customFormat="1" ht="12.75">
      <c r="B46" s="16" t="s">
        <v>575</v>
      </c>
      <c r="D46" s="92">
        <v>0</v>
      </c>
      <c r="E46" s="367"/>
      <c r="F46" s="64">
        <v>-8099119</v>
      </c>
    </row>
    <row r="47" spans="2:6" s="9" customFormat="1" ht="12.75">
      <c r="B47" s="16" t="s">
        <v>576</v>
      </c>
      <c r="D47" s="92">
        <v>0</v>
      </c>
      <c r="E47" s="367"/>
      <c r="F47" s="64">
        <v>0</v>
      </c>
    </row>
    <row r="48" spans="2:6" ht="12.75">
      <c r="B48" s="9" t="s">
        <v>577</v>
      </c>
      <c r="D48" s="268">
        <f>SUM(D42:D47)</f>
        <v>-213307</v>
      </c>
      <c r="E48" s="259"/>
      <c r="F48" s="370">
        <f>SUM(F42:F47)</f>
        <v>-8685439</v>
      </c>
    </row>
    <row r="49" spans="2:6" ht="12.75">
      <c r="B49" s="16"/>
      <c r="D49" s="259"/>
      <c r="E49" s="259"/>
      <c r="F49" s="21"/>
    </row>
    <row r="50" spans="1:6" s="9" customFormat="1" ht="12.75">
      <c r="A50" s="9" t="s">
        <v>105</v>
      </c>
      <c r="B50" s="16"/>
      <c r="D50" s="92"/>
      <c r="E50" s="367"/>
      <c r="F50" s="64"/>
    </row>
    <row r="51" spans="2:7" s="9" customFormat="1" ht="12.75">
      <c r="B51" s="16" t="s">
        <v>578</v>
      </c>
      <c r="D51" s="92">
        <v>221000</v>
      </c>
      <c r="E51" s="367"/>
      <c r="F51" s="64">
        <v>2369992</v>
      </c>
      <c r="G51" s="64"/>
    </row>
    <row r="52" spans="2:6" s="9" customFormat="1" ht="12.75">
      <c r="B52" s="16" t="s">
        <v>579</v>
      </c>
      <c r="D52" s="92">
        <v>-1341215</v>
      </c>
      <c r="E52" s="367"/>
      <c r="F52" s="64">
        <v>-93316</v>
      </c>
    </row>
    <row r="53" spans="2:6" s="9" customFormat="1" ht="12.75">
      <c r="B53" s="16" t="s">
        <v>580</v>
      </c>
      <c r="D53" s="92">
        <v>0</v>
      </c>
      <c r="E53" s="367"/>
      <c r="F53" s="64">
        <v>0</v>
      </c>
    </row>
    <row r="54" spans="2:6" s="9" customFormat="1" ht="12.75">
      <c r="B54" s="16" t="s">
        <v>590</v>
      </c>
      <c r="D54" s="92">
        <v>0</v>
      </c>
      <c r="E54" s="367"/>
      <c r="F54" s="64">
        <v>0</v>
      </c>
    </row>
    <row r="55" spans="2:6" s="9" customFormat="1" ht="12.75">
      <c r="B55" s="16" t="s">
        <v>581</v>
      </c>
      <c r="D55" s="92">
        <v>0</v>
      </c>
      <c r="E55" s="367"/>
      <c r="F55" s="64">
        <v>0</v>
      </c>
    </row>
    <row r="56" spans="2:6" ht="12.75">
      <c r="B56" s="16" t="s">
        <v>589</v>
      </c>
      <c r="D56" s="264">
        <v>-24165</v>
      </c>
      <c r="E56" s="259"/>
      <c r="F56" s="366">
        <v>-30094</v>
      </c>
    </row>
    <row r="57" spans="2:6" ht="12.75">
      <c r="B57" s="9" t="s">
        <v>312</v>
      </c>
      <c r="D57" s="268">
        <f>SUM(D51:D56)</f>
        <v>-1144380</v>
      </c>
      <c r="E57" s="259"/>
      <c r="F57" s="366">
        <f>SUM(F51:F56)</f>
        <v>2246582</v>
      </c>
    </row>
    <row r="58" spans="1:6" ht="12.75">
      <c r="A58" s="350"/>
      <c r="B58" s="58"/>
      <c r="D58" s="259"/>
      <c r="E58" s="259"/>
      <c r="F58" s="21"/>
    </row>
    <row r="59" spans="1:6" ht="12.75">
      <c r="A59" s="9" t="s">
        <v>582</v>
      </c>
      <c r="B59" s="16"/>
      <c r="D59" s="259">
        <f>ROUNDDOWN(D57+D48+D39,0)</f>
        <v>-1027639</v>
      </c>
      <c r="E59" s="259"/>
      <c r="F59" s="131">
        <f>F39+F48+F57</f>
        <v>-6225096</v>
      </c>
    </row>
    <row r="60" spans="2:6" ht="12.75">
      <c r="B60" s="16"/>
      <c r="D60" s="259"/>
      <c r="E60" s="259"/>
      <c r="F60" s="21"/>
    </row>
    <row r="61" spans="1:6" ht="12.75">
      <c r="A61" s="9" t="s">
        <v>583</v>
      </c>
      <c r="B61" s="58"/>
      <c r="C61" s="348"/>
      <c r="D61" s="259">
        <f>-'Balance Sheets'!D40</f>
        <v>453604.77373920387</v>
      </c>
      <c r="E61" s="259"/>
      <c r="F61" s="21">
        <v>145633</v>
      </c>
    </row>
    <row r="62" spans="2:6" ht="12.75">
      <c r="B62" s="58"/>
      <c r="C62" s="348"/>
      <c r="D62" s="259"/>
      <c r="E62" s="259"/>
      <c r="F62" s="259"/>
    </row>
    <row r="63" spans="1:6" ht="12.75">
      <c r="A63" s="9" t="s">
        <v>584</v>
      </c>
      <c r="B63" s="58"/>
      <c r="C63" s="348"/>
      <c r="D63" s="382">
        <v>2919018</v>
      </c>
      <c r="E63" s="259"/>
      <c r="F63" s="394">
        <v>5787684</v>
      </c>
    </row>
    <row r="64" spans="2:6" ht="12.75">
      <c r="B64" s="16"/>
      <c r="C64" s="348"/>
      <c r="D64" s="259"/>
      <c r="E64" s="259"/>
      <c r="F64" s="21"/>
    </row>
    <row r="65" spans="1:6" ht="13.5" thickBot="1">
      <c r="A65" s="9" t="s">
        <v>585</v>
      </c>
      <c r="B65" s="16"/>
      <c r="C65" s="348"/>
      <c r="D65" s="265">
        <f>SUM(D59:D63)</f>
        <v>2344983.773739204</v>
      </c>
      <c r="E65" s="259"/>
      <c r="F65" s="371">
        <f>SUM(F59:F64)</f>
        <v>-291779</v>
      </c>
    </row>
    <row r="66" spans="2:6" ht="13.5" thickTop="1">
      <c r="B66" s="16"/>
      <c r="C66" s="348"/>
      <c r="D66" s="259"/>
      <c r="E66" s="372"/>
      <c r="F66" s="21"/>
    </row>
    <row r="67" spans="2:7" ht="12.75">
      <c r="B67" s="16"/>
      <c r="C67" s="373"/>
      <c r="E67" s="372"/>
      <c r="F67" s="131"/>
      <c r="G67" s="21"/>
    </row>
    <row r="68" spans="2:6" ht="12.75">
      <c r="B68" s="16"/>
      <c r="C68" s="373"/>
      <c r="F68" s="131"/>
    </row>
    <row r="69" spans="1:6" ht="12.75">
      <c r="A69"/>
      <c r="B69" s="16"/>
      <c r="F69" s="399" t="s">
        <v>623</v>
      </c>
    </row>
    <row r="70" spans="1:6" ht="12.75">
      <c r="A70" s="24" t="s">
        <v>593</v>
      </c>
      <c r="B70" s="16"/>
      <c r="C70" s="16"/>
      <c r="F70" s="48"/>
    </row>
    <row r="71" spans="1:7" ht="12.75">
      <c r="A71" s="24" t="s">
        <v>594</v>
      </c>
      <c r="C71" s="16"/>
      <c r="D71" s="245">
        <f>'[4]CBS'!$W$30-D72</f>
        <v>3642031.7313087257</v>
      </c>
      <c r="F71" s="395">
        <f>3220080+86023</f>
        <v>3306103</v>
      </c>
      <c r="G71" s="364"/>
    </row>
    <row r="72" spans="1:7" ht="12.75">
      <c r="A72" s="24" t="s">
        <v>628</v>
      </c>
      <c r="C72" s="16"/>
      <c r="D72" s="396">
        <v>33030</v>
      </c>
      <c r="F72" s="395">
        <v>1078034</v>
      </c>
      <c r="G72" s="364"/>
    </row>
    <row r="73" spans="1:7" ht="9.75" customHeight="1">
      <c r="A73" s="24"/>
      <c r="C73" s="16"/>
      <c r="D73" s="405"/>
      <c r="E73" s="398"/>
      <c r="F73" s="397"/>
      <c r="G73" s="364"/>
    </row>
    <row r="74" spans="1:7" ht="12.75">
      <c r="A74" s="24" t="s">
        <v>629</v>
      </c>
      <c r="C74" s="16"/>
      <c r="D74" s="404">
        <f>SUM(D71:D72)</f>
        <v>3675061.7313087257</v>
      </c>
      <c r="E74" s="404"/>
      <c r="F74" s="404">
        <f>SUM(F71:F72)</f>
        <v>4384137</v>
      </c>
      <c r="G74" s="395"/>
    </row>
    <row r="75" spans="1:7" ht="9" customHeight="1">
      <c r="A75" s="24"/>
      <c r="C75" s="16"/>
      <c r="D75" s="404"/>
      <c r="E75" s="372"/>
      <c r="F75" s="404"/>
      <c r="G75" s="395"/>
    </row>
    <row r="76" spans="1:7" ht="12.75">
      <c r="A76" s="9" t="s">
        <v>631</v>
      </c>
      <c r="C76" s="16"/>
      <c r="D76" s="259">
        <f>-D72</f>
        <v>-33030</v>
      </c>
      <c r="E76" s="372"/>
      <c r="F76" s="259">
        <f>-F72</f>
        <v>-1078034</v>
      </c>
      <c r="G76" s="364"/>
    </row>
    <row r="77" spans="1:7" ht="12.75">
      <c r="A77" s="24" t="s">
        <v>632</v>
      </c>
      <c r="C77" s="16"/>
      <c r="D77" s="406">
        <v>-1297048</v>
      </c>
      <c r="E77" s="372"/>
      <c r="F77" s="92">
        <v>-387085</v>
      </c>
      <c r="G77" s="364"/>
    </row>
    <row r="78" spans="1:7" ht="9" customHeight="1">
      <c r="A78" s="24"/>
      <c r="C78" s="16"/>
      <c r="D78" s="406"/>
      <c r="E78" s="372"/>
      <c r="F78" s="92"/>
      <c r="G78" s="364"/>
    </row>
    <row r="79" spans="1:7" ht="13.5" thickBot="1">
      <c r="A79" s="16" t="s">
        <v>630</v>
      </c>
      <c r="C79" s="16"/>
      <c r="D79" s="265">
        <f>SUM(D73:D78)</f>
        <v>2344983.7313087257</v>
      </c>
      <c r="E79" s="265"/>
      <c r="F79" s="265">
        <f>SUM(F73:F78)</f>
        <v>2919018</v>
      </c>
      <c r="G79" s="395"/>
    </row>
    <row r="80" spans="3:7" ht="13.5" thickTop="1">
      <c r="C80" s="16"/>
      <c r="D80" s="384"/>
      <c r="F80" s="372"/>
      <c r="G80" s="364"/>
    </row>
    <row r="81" spans="6:7" ht="12.75">
      <c r="F81" s="364"/>
      <c r="G81" s="364"/>
    </row>
    <row r="82" spans="4:7" ht="12.75">
      <c r="D82" s="384"/>
      <c r="F82" s="364"/>
      <c r="G82" s="364"/>
    </row>
    <row r="83" spans="1:7" ht="25.5" customHeight="1">
      <c r="A83" s="424" t="s">
        <v>621</v>
      </c>
      <c r="B83" s="424"/>
      <c r="C83" s="424"/>
      <c r="D83" s="424"/>
      <c r="E83" s="424"/>
      <c r="F83" s="424"/>
      <c r="G83" s="400"/>
    </row>
    <row r="85" ht="12.75">
      <c r="D85" s="384"/>
    </row>
  </sheetData>
  <sheetProtection/>
  <mergeCells count="7">
    <mergeCell ref="A83:F83"/>
    <mergeCell ref="A9:F9"/>
    <mergeCell ref="A7:F7"/>
    <mergeCell ref="A2:F2"/>
    <mergeCell ref="A3:F3"/>
    <mergeCell ref="A4:F4"/>
    <mergeCell ref="A6:F6"/>
  </mergeCells>
  <printOptions horizontalCentered="1"/>
  <pageMargins left="0" right="0" top="0.25" bottom="0" header="0.5" footer="0.5"/>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71</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503</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265</v>
      </c>
      <c r="G3" s="149" t="s">
        <v>266</v>
      </c>
      <c r="H3" s="149" t="s">
        <v>408</v>
      </c>
      <c r="I3" s="149" t="s">
        <v>267</v>
      </c>
      <c r="J3" s="149" t="s">
        <v>409</v>
      </c>
      <c r="K3" s="149" t="s">
        <v>268</v>
      </c>
      <c r="L3" s="149" t="s">
        <v>269</v>
      </c>
      <c r="M3" s="149" t="s">
        <v>411</v>
      </c>
      <c r="N3" s="149" t="s">
        <v>270</v>
      </c>
      <c r="O3" s="149" t="s">
        <v>271</v>
      </c>
      <c r="P3" s="149" t="s">
        <v>268</v>
      </c>
      <c r="Q3" s="149" t="s">
        <v>269</v>
      </c>
      <c r="R3" s="149" t="s">
        <v>413</v>
      </c>
      <c r="S3" s="150" t="s">
        <v>272</v>
      </c>
      <c r="T3" s="150" t="s">
        <v>414</v>
      </c>
      <c r="U3" s="149" t="s">
        <v>65</v>
      </c>
      <c r="V3" s="149" t="s">
        <v>273</v>
      </c>
      <c r="W3" s="149" t="s">
        <v>274</v>
      </c>
      <c r="X3" s="149" t="s">
        <v>275</v>
      </c>
      <c r="Y3" s="149" t="s">
        <v>48</v>
      </c>
    </row>
    <row r="4" spans="4:25" s="147" customFormat="1" ht="12.75">
      <c r="D4" s="148"/>
      <c r="E4" s="149"/>
      <c r="F4" s="149"/>
      <c r="G4" s="149"/>
      <c r="H4" s="149" t="s">
        <v>324</v>
      </c>
      <c r="I4" s="149"/>
      <c r="J4" s="149" t="s">
        <v>410</v>
      </c>
      <c r="K4" s="149" t="s">
        <v>276</v>
      </c>
      <c r="L4" s="149" t="s">
        <v>276</v>
      </c>
      <c r="M4" s="149" t="s">
        <v>266</v>
      </c>
      <c r="N4" s="149" t="s">
        <v>278</v>
      </c>
      <c r="O4" s="149" t="s">
        <v>279</v>
      </c>
      <c r="P4" s="149" t="s">
        <v>280</v>
      </c>
      <c r="Q4" s="149" t="s">
        <v>280</v>
      </c>
      <c r="R4" s="149" t="s">
        <v>151</v>
      </c>
      <c r="S4" s="150" t="s">
        <v>282</v>
      </c>
      <c r="T4" s="150" t="s">
        <v>415</v>
      </c>
      <c r="U4" s="149" t="s">
        <v>283</v>
      </c>
      <c r="V4" s="149" t="s">
        <v>284</v>
      </c>
      <c r="W4" s="149" t="s">
        <v>285</v>
      </c>
      <c r="X4" s="149" t="s">
        <v>103</v>
      </c>
      <c r="Y4" s="149" t="s">
        <v>286</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4</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287</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288</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289</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290</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291</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292</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70</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158</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293</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294</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295</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296</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297</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298</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299</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412</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276</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300</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281</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277</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301</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302</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303</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304</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305</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306</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307</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308</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309</v>
      </c>
      <c r="D42" s="148" t="s">
        <v>48</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457</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472</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458</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310</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311</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312</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313</v>
      </c>
      <c r="D51" s="148" t="s">
        <v>48</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314</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488</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489</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315</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316</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312</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317</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318</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319</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320</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321</v>
      </c>
      <c r="B65" s="154"/>
      <c r="C65" s="154"/>
      <c r="D65" s="173" t="s">
        <v>4</v>
      </c>
      <c r="E65" s="173" t="s">
        <v>4</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416</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42</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27</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Easy Sun Sdn Bhd</cp:lastModifiedBy>
  <cp:lastPrinted>2010-01-18T03:52:37Z</cp:lastPrinted>
  <dcterms:created xsi:type="dcterms:W3CDTF">2004-04-06T05:40:30Z</dcterms:created>
  <dcterms:modified xsi:type="dcterms:W3CDTF">2010-01-18T03:52:40Z</dcterms:modified>
  <cp:category/>
  <cp:version/>
  <cp:contentType/>
  <cp:contentStatus/>
</cp:coreProperties>
</file>